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60" windowWidth="19320" windowHeight="12690"/>
  </bookViews>
  <sheets>
    <sheet name="Intro" sheetId="1" r:id="rId1"/>
    <sheet name="Pyblast calculator" sheetId="9" r:id="rId2"/>
    <sheet name="N ESk Scenarios" sheetId="7" r:id="rId3"/>
    <sheet name="Model " sheetId="6" r:id="rId4"/>
    <sheet name="Trapping model" sheetId="5" r:id="rId5"/>
    <sheet name="modelauto" sheetId="4" r:id="rId6"/>
  </sheets>
  <calcPr calcId="145621"/>
</workbook>
</file>

<file path=xl/calcChain.xml><?xml version="1.0" encoding="utf-8"?>
<calcChain xmlns="http://schemas.openxmlformats.org/spreadsheetml/2006/main">
  <c r="C55" i="9" l="1"/>
  <c r="D55" i="9" s="1"/>
  <c r="C54" i="9"/>
  <c r="D54" i="9" s="1"/>
  <c r="C53" i="9"/>
  <c r="D53" i="9" s="1"/>
  <c r="C52" i="9"/>
  <c r="D52" i="9" s="1"/>
  <c r="C51" i="9"/>
  <c r="D51" i="9" s="1"/>
  <c r="C50" i="9"/>
  <c r="D50" i="9" s="1"/>
  <c r="C49" i="9"/>
  <c r="D49" i="9" s="1"/>
  <c r="J39" i="9"/>
  <c r="K39" i="9" s="1"/>
  <c r="E39" i="9"/>
  <c r="G39" i="9" s="1"/>
  <c r="M39" i="9" s="1"/>
  <c r="N39" i="9" s="1"/>
  <c r="O39" i="9" s="1"/>
  <c r="K38" i="9"/>
  <c r="J38" i="9"/>
  <c r="G38" i="9"/>
  <c r="M38" i="9" s="1"/>
  <c r="N38" i="9" s="1"/>
  <c r="O38" i="9" s="1"/>
  <c r="E38" i="9"/>
  <c r="H38" i="9" s="1"/>
  <c r="I38" i="9" s="1"/>
  <c r="J37" i="9"/>
  <c r="K37" i="9" s="1"/>
  <c r="H37" i="9"/>
  <c r="I37" i="9" s="1"/>
  <c r="E37" i="9"/>
  <c r="G37" i="9" s="1"/>
  <c r="M37" i="9" s="1"/>
  <c r="N37" i="9" s="1"/>
  <c r="O37" i="9" s="1"/>
  <c r="D36" i="9"/>
  <c r="J36" i="9" s="1"/>
  <c r="K36" i="9" s="1"/>
  <c r="K35" i="9"/>
  <c r="J35" i="9"/>
  <c r="G35" i="9"/>
  <c r="E35" i="9"/>
  <c r="H35" i="9" s="1"/>
  <c r="M32" i="9"/>
  <c r="N32" i="9" s="1"/>
  <c r="O32" i="9" s="1"/>
  <c r="J32" i="9"/>
  <c r="K32" i="9" s="1"/>
  <c r="H32" i="9"/>
  <c r="I32" i="9" s="1"/>
  <c r="G32" i="9"/>
  <c r="M31" i="9"/>
  <c r="N31" i="9" s="1"/>
  <c r="O31" i="9" s="1"/>
  <c r="J31" i="9"/>
  <c r="K31" i="9" s="1"/>
  <c r="H31" i="9"/>
  <c r="I31" i="9" s="1"/>
  <c r="G31" i="9"/>
  <c r="M30" i="9"/>
  <c r="N30" i="9" s="1"/>
  <c r="O30" i="9" s="1"/>
  <c r="J30" i="9"/>
  <c r="K30" i="9" s="1"/>
  <c r="H30" i="9"/>
  <c r="I30" i="9" s="1"/>
  <c r="G30" i="9"/>
  <c r="M29" i="9"/>
  <c r="N29" i="9" s="1"/>
  <c r="O29" i="9" s="1"/>
  <c r="J29" i="9"/>
  <c r="K29" i="9" s="1"/>
  <c r="H29" i="9"/>
  <c r="I29" i="9" s="1"/>
  <c r="G29" i="9"/>
  <c r="M28" i="9"/>
  <c r="N28" i="9" s="1"/>
  <c r="J28" i="9"/>
  <c r="K28" i="9" s="1"/>
  <c r="K33" i="9" s="1"/>
  <c r="H28" i="9"/>
  <c r="I28" i="9" s="1"/>
  <c r="I33" i="9" s="1"/>
  <c r="G28" i="9"/>
  <c r="G33" i="9" s="1"/>
  <c r="I35" i="9" l="1"/>
  <c r="B41" i="9"/>
  <c r="N33" i="9"/>
  <c r="O28" i="9"/>
  <c r="O33" i="9" s="1"/>
  <c r="K40" i="9"/>
  <c r="H33" i="9"/>
  <c r="M33" i="9"/>
  <c r="H39" i="9"/>
  <c r="I39" i="9" s="1"/>
  <c r="J40" i="9"/>
  <c r="J33" i="9"/>
  <c r="M35" i="9"/>
  <c r="E36" i="9"/>
  <c r="K12" i="5"/>
  <c r="H36" i="9" l="1"/>
  <c r="G36" i="9"/>
  <c r="N35" i="9"/>
  <c r="F281" i="5"/>
  <c r="G281" i="5"/>
  <c r="H281" i="5" s="1"/>
  <c r="F279" i="5"/>
  <c r="G279" i="5"/>
  <c r="F280" i="5"/>
  <c r="G280" i="5"/>
  <c r="H280" i="5" s="1"/>
  <c r="F271" i="5"/>
  <c r="G271" i="5"/>
  <c r="F272" i="5"/>
  <c r="G272" i="5"/>
  <c r="H272" i="5" s="1"/>
  <c r="F273" i="5"/>
  <c r="G273" i="5"/>
  <c r="F274" i="5"/>
  <c r="G274" i="5"/>
  <c r="H274" i="5" s="1"/>
  <c r="F275" i="5"/>
  <c r="G275" i="5"/>
  <c r="F276" i="5"/>
  <c r="G276" i="5"/>
  <c r="H276" i="5" s="1"/>
  <c r="F277" i="5"/>
  <c r="G277" i="5"/>
  <c r="F278" i="5"/>
  <c r="G278" i="5"/>
  <c r="H278" i="5" s="1"/>
  <c r="F263" i="5"/>
  <c r="G263" i="5"/>
  <c r="F264" i="5"/>
  <c r="G264" i="5"/>
  <c r="H264" i="5" s="1"/>
  <c r="F265" i="5"/>
  <c r="G265" i="5"/>
  <c r="F266" i="5"/>
  <c r="G266" i="5"/>
  <c r="H266" i="5" s="1"/>
  <c r="F267" i="5"/>
  <c r="G267" i="5"/>
  <c r="F268" i="5"/>
  <c r="G268" i="5"/>
  <c r="H268" i="5" s="1"/>
  <c r="F269" i="5"/>
  <c r="G269" i="5"/>
  <c r="F270" i="5"/>
  <c r="G270" i="5"/>
  <c r="H270" i="5" s="1"/>
  <c r="F238" i="5"/>
  <c r="G238" i="5"/>
  <c r="F239" i="5"/>
  <c r="G239" i="5"/>
  <c r="H239" i="5" s="1"/>
  <c r="F240" i="5"/>
  <c r="G240" i="5"/>
  <c r="F241" i="5"/>
  <c r="G241" i="5"/>
  <c r="H241" i="5" s="1"/>
  <c r="F242" i="5"/>
  <c r="G242" i="5"/>
  <c r="F243" i="5"/>
  <c r="G243" i="5"/>
  <c r="H243" i="5" s="1"/>
  <c r="F244" i="5"/>
  <c r="G244" i="5"/>
  <c r="F245" i="5"/>
  <c r="G245" i="5"/>
  <c r="H245" i="5" s="1"/>
  <c r="F246" i="5"/>
  <c r="G246" i="5"/>
  <c r="F247" i="5"/>
  <c r="G247" i="5"/>
  <c r="H247" i="5" s="1"/>
  <c r="F248" i="5"/>
  <c r="G248" i="5"/>
  <c r="F249" i="5"/>
  <c r="G249" i="5"/>
  <c r="H249" i="5" s="1"/>
  <c r="F250" i="5"/>
  <c r="G250" i="5"/>
  <c r="F251" i="5"/>
  <c r="G251" i="5"/>
  <c r="H251" i="5" s="1"/>
  <c r="F252" i="5"/>
  <c r="G252" i="5"/>
  <c r="F253" i="5"/>
  <c r="G253" i="5"/>
  <c r="H253" i="5" s="1"/>
  <c r="F254" i="5"/>
  <c r="G254" i="5"/>
  <c r="F255" i="5"/>
  <c r="G255" i="5"/>
  <c r="H255" i="5" s="1"/>
  <c r="F256" i="5"/>
  <c r="G256" i="5"/>
  <c r="F257" i="5"/>
  <c r="G257" i="5"/>
  <c r="H257" i="5" s="1"/>
  <c r="F258" i="5"/>
  <c r="G258" i="5"/>
  <c r="F259" i="5"/>
  <c r="G259" i="5"/>
  <c r="H259" i="5" s="1"/>
  <c r="F260" i="5"/>
  <c r="G260" i="5"/>
  <c r="F261" i="5"/>
  <c r="G261" i="5"/>
  <c r="H261" i="5" s="1"/>
  <c r="F262" i="5"/>
  <c r="G262" i="5"/>
  <c r="F93" i="5"/>
  <c r="G93" i="5"/>
  <c r="H93" i="5" s="1"/>
  <c r="F94" i="5"/>
  <c r="G94" i="5"/>
  <c r="F95" i="5"/>
  <c r="G95" i="5"/>
  <c r="H95" i="5" s="1"/>
  <c r="F96" i="5"/>
  <c r="G96" i="5"/>
  <c r="F97" i="5"/>
  <c r="G97" i="5"/>
  <c r="H97" i="5" s="1"/>
  <c r="F98" i="5"/>
  <c r="G98" i="5"/>
  <c r="F99" i="5"/>
  <c r="G99" i="5"/>
  <c r="H99" i="5" s="1"/>
  <c r="F100" i="5"/>
  <c r="G100" i="5"/>
  <c r="F101" i="5"/>
  <c r="G101" i="5"/>
  <c r="H101" i="5" s="1"/>
  <c r="F102" i="5"/>
  <c r="G102" i="5"/>
  <c r="F103" i="5"/>
  <c r="G103" i="5"/>
  <c r="H103" i="5" s="1"/>
  <c r="F104" i="5"/>
  <c r="G104" i="5"/>
  <c r="F105" i="5"/>
  <c r="G105" i="5"/>
  <c r="H105" i="5" s="1"/>
  <c r="F106" i="5"/>
  <c r="G106" i="5"/>
  <c r="F107" i="5"/>
  <c r="G107" i="5"/>
  <c r="H107" i="5" s="1"/>
  <c r="F108" i="5"/>
  <c r="G108" i="5"/>
  <c r="F109" i="5"/>
  <c r="G109" i="5"/>
  <c r="H109" i="5" s="1"/>
  <c r="F110" i="5"/>
  <c r="G110" i="5"/>
  <c r="F111" i="5"/>
  <c r="G111" i="5"/>
  <c r="H111" i="5" s="1"/>
  <c r="F112" i="5"/>
  <c r="G112" i="5"/>
  <c r="F113" i="5"/>
  <c r="G113" i="5"/>
  <c r="H113" i="5" s="1"/>
  <c r="F114" i="5"/>
  <c r="G114" i="5"/>
  <c r="F115" i="5"/>
  <c r="G115" i="5"/>
  <c r="H115" i="5" s="1"/>
  <c r="F116" i="5"/>
  <c r="G116" i="5"/>
  <c r="F117" i="5"/>
  <c r="G117" i="5"/>
  <c r="H117" i="5" s="1"/>
  <c r="F118" i="5"/>
  <c r="G118" i="5"/>
  <c r="F119" i="5"/>
  <c r="G119" i="5"/>
  <c r="H119" i="5" s="1"/>
  <c r="F120" i="5"/>
  <c r="G120" i="5"/>
  <c r="F121" i="5"/>
  <c r="G121" i="5"/>
  <c r="H121" i="5" s="1"/>
  <c r="F122" i="5"/>
  <c r="G122" i="5"/>
  <c r="F123" i="5"/>
  <c r="G123" i="5"/>
  <c r="H123" i="5" s="1"/>
  <c r="F124" i="5"/>
  <c r="G124" i="5"/>
  <c r="F125" i="5"/>
  <c r="G125" i="5"/>
  <c r="H125" i="5" s="1"/>
  <c r="F126" i="5"/>
  <c r="G126" i="5"/>
  <c r="F127" i="5"/>
  <c r="G127" i="5"/>
  <c r="H127" i="5" s="1"/>
  <c r="F128" i="5"/>
  <c r="G128" i="5"/>
  <c r="F129" i="5"/>
  <c r="G129" i="5"/>
  <c r="H129" i="5" s="1"/>
  <c r="F130" i="5"/>
  <c r="G130" i="5"/>
  <c r="F131" i="5"/>
  <c r="G131" i="5"/>
  <c r="H131" i="5" s="1"/>
  <c r="F132" i="5"/>
  <c r="G132" i="5"/>
  <c r="F133" i="5"/>
  <c r="G133" i="5"/>
  <c r="H133" i="5" s="1"/>
  <c r="F134" i="5"/>
  <c r="G134" i="5"/>
  <c r="F135" i="5"/>
  <c r="G135" i="5"/>
  <c r="H135" i="5" s="1"/>
  <c r="F136" i="5"/>
  <c r="G136" i="5"/>
  <c r="F137" i="5"/>
  <c r="G137" i="5"/>
  <c r="H137" i="5" s="1"/>
  <c r="F138" i="5"/>
  <c r="G138" i="5"/>
  <c r="F139" i="5"/>
  <c r="G139" i="5"/>
  <c r="H139" i="5" s="1"/>
  <c r="F140" i="5"/>
  <c r="G140" i="5"/>
  <c r="F141" i="5"/>
  <c r="G141" i="5"/>
  <c r="H141" i="5" s="1"/>
  <c r="F142" i="5"/>
  <c r="G142" i="5"/>
  <c r="F143" i="5"/>
  <c r="G143" i="5"/>
  <c r="H143" i="5" s="1"/>
  <c r="F144" i="5"/>
  <c r="G144" i="5"/>
  <c r="F145" i="5"/>
  <c r="G145" i="5"/>
  <c r="H145" i="5" s="1"/>
  <c r="F146" i="5"/>
  <c r="G146" i="5"/>
  <c r="F147" i="5"/>
  <c r="G147" i="5"/>
  <c r="H147" i="5" s="1"/>
  <c r="F148" i="5"/>
  <c r="G148" i="5"/>
  <c r="F149" i="5"/>
  <c r="G149" i="5"/>
  <c r="H149" i="5" s="1"/>
  <c r="F150" i="5"/>
  <c r="G150" i="5"/>
  <c r="F151" i="5"/>
  <c r="G151" i="5"/>
  <c r="H151" i="5" s="1"/>
  <c r="F152" i="5"/>
  <c r="G152" i="5"/>
  <c r="F153" i="5"/>
  <c r="G153" i="5"/>
  <c r="H153" i="5" s="1"/>
  <c r="F154" i="5"/>
  <c r="G154" i="5"/>
  <c r="F155" i="5"/>
  <c r="G155" i="5"/>
  <c r="H155" i="5" s="1"/>
  <c r="F156" i="5"/>
  <c r="G156" i="5"/>
  <c r="F157" i="5"/>
  <c r="G157" i="5"/>
  <c r="H157" i="5" s="1"/>
  <c r="F158" i="5"/>
  <c r="G158" i="5"/>
  <c r="F159" i="5"/>
  <c r="G159" i="5"/>
  <c r="H159" i="5" s="1"/>
  <c r="F160" i="5"/>
  <c r="G160" i="5"/>
  <c r="F161" i="5"/>
  <c r="G161" i="5"/>
  <c r="H161" i="5" s="1"/>
  <c r="F162" i="5"/>
  <c r="G162" i="5"/>
  <c r="F163" i="5"/>
  <c r="G163" i="5"/>
  <c r="H163" i="5" s="1"/>
  <c r="F164" i="5"/>
  <c r="G164" i="5"/>
  <c r="F165" i="5"/>
  <c r="G165" i="5"/>
  <c r="H165" i="5" s="1"/>
  <c r="F166" i="5"/>
  <c r="G166" i="5"/>
  <c r="F167" i="5"/>
  <c r="G167" i="5"/>
  <c r="H167" i="5" s="1"/>
  <c r="F168" i="5"/>
  <c r="G168" i="5"/>
  <c r="F169" i="5"/>
  <c r="G169" i="5"/>
  <c r="H169" i="5" s="1"/>
  <c r="F170" i="5"/>
  <c r="G170" i="5"/>
  <c r="F171" i="5"/>
  <c r="G171" i="5"/>
  <c r="H171" i="5" s="1"/>
  <c r="F172" i="5"/>
  <c r="G172" i="5"/>
  <c r="F173" i="5"/>
  <c r="G173" i="5"/>
  <c r="H173" i="5" s="1"/>
  <c r="F174" i="5"/>
  <c r="G174" i="5"/>
  <c r="F175" i="5"/>
  <c r="G175" i="5"/>
  <c r="H175" i="5" s="1"/>
  <c r="F176" i="5"/>
  <c r="G176" i="5"/>
  <c r="F177" i="5"/>
  <c r="G177" i="5"/>
  <c r="H177" i="5" s="1"/>
  <c r="F178" i="5"/>
  <c r="G178" i="5"/>
  <c r="H178" i="5"/>
  <c r="F179" i="5"/>
  <c r="G179" i="5"/>
  <c r="H179" i="5"/>
  <c r="F180" i="5"/>
  <c r="H180" i="5" s="1"/>
  <c r="G180" i="5"/>
  <c r="F181" i="5"/>
  <c r="G181" i="5"/>
  <c r="H181" i="5" s="1"/>
  <c r="F182" i="5"/>
  <c r="G182" i="5"/>
  <c r="F183" i="5"/>
  <c r="G183" i="5"/>
  <c r="F184" i="5"/>
  <c r="G184" i="5"/>
  <c r="F185" i="5"/>
  <c r="G185" i="5"/>
  <c r="F186" i="5"/>
  <c r="G186" i="5"/>
  <c r="F187" i="5"/>
  <c r="G187" i="5"/>
  <c r="F188" i="5"/>
  <c r="G188" i="5"/>
  <c r="F189" i="5"/>
  <c r="G189" i="5"/>
  <c r="F190" i="5"/>
  <c r="G190" i="5"/>
  <c r="F191" i="5"/>
  <c r="G191" i="5"/>
  <c r="F192" i="5"/>
  <c r="G192" i="5"/>
  <c r="F193" i="5"/>
  <c r="G193" i="5"/>
  <c r="F194" i="5"/>
  <c r="G194" i="5"/>
  <c r="F195" i="5"/>
  <c r="G195" i="5"/>
  <c r="F196" i="5"/>
  <c r="G196" i="5"/>
  <c r="F197" i="5"/>
  <c r="G197" i="5"/>
  <c r="F198" i="5"/>
  <c r="G198" i="5"/>
  <c r="F199" i="5"/>
  <c r="G199" i="5"/>
  <c r="F200" i="5"/>
  <c r="G200" i="5"/>
  <c r="F201" i="5"/>
  <c r="G201" i="5"/>
  <c r="F202" i="5"/>
  <c r="G202" i="5"/>
  <c r="F203" i="5"/>
  <c r="G203" i="5"/>
  <c r="F204" i="5"/>
  <c r="G204" i="5"/>
  <c r="F205" i="5"/>
  <c r="G205" i="5"/>
  <c r="F206" i="5"/>
  <c r="G206" i="5"/>
  <c r="F207" i="5"/>
  <c r="G207" i="5"/>
  <c r="F208" i="5"/>
  <c r="G208" i="5"/>
  <c r="F209" i="5"/>
  <c r="G209" i="5"/>
  <c r="F210" i="5"/>
  <c r="G210" i="5"/>
  <c r="F211" i="5"/>
  <c r="G211" i="5"/>
  <c r="F212" i="5"/>
  <c r="G212" i="5"/>
  <c r="F213" i="5"/>
  <c r="G213" i="5"/>
  <c r="F214" i="5"/>
  <c r="G214" i="5"/>
  <c r="F215" i="5"/>
  <c r="G215" i="5"/>
  <c r="F216" i="5"/>
  <c r="G216" i="5"/>
  <c r="F217" i="5"/>
  <c r="G217" i="5"/>
  <c r="F218" i="5"/>
  <c r="G218" i="5"/>
  <c r="F219" i="5"/>
  <c r="G219" i="5"/>
  <c r="F220" i="5"/>
  <c r="G220" i="5"/>
  <c r="F221" i="5"/>
  <c r="G221" i="5"/>
  <c r="F222" i="5"/>
  <c r="G222" i="5"/>
  <c r="F223" i="5"/>
  <c r="G223" i="5"/>
  <c r="F224" i="5"/>
  <c r="G224" i="5"/>
  <c r="F225" i="5"/>
  <c r="G225" i="5"/>
  <c r="F226" i="5"/>
  <c r="G226" i="5"/>
  <c r="F227" i="5"/>
  <c r="G227" i="5"/>
  <c r="F228" i="5"/>
  <c r="G228" i="5"/>
  <c r="F229" i="5"/>
  <c r="G229" i="5"/>
  <c r="F230" i="5"/>
  <c r="G230" i="5"/>
  <c r="F231" i="5"/>
  <c r="G231" i="5"/>
  <c r="F232" i="5"/>
  <c r="G232" i="5"/>
  <c r="F233" i="5"/>
  <c r="G233" i="5"/>
  <c r="F234" i="5"/>
  <c r="G234" i="5"/>
  <c r="F235" i="5"/>
  <c r="G235" i="5"/>
  <c r="F236" i="5"/>
  <c r="G236" i="5"/>
  <c r="F237" i="5"/>
  <c r="G237" i="5"/>
  <c r="F61"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O35" i="9" l="1"/>
  <c r="M36" i="9"/>
  <c r="G40" i="9"/>
  <c r="I36" i="9"/>
  <c r="I40" i="9" s="1"/>
  <c r="B44" i="9" s="1"/>
  <c r="H40" i="9"/>
  <c r="B42" i="9" s="1"/>
  <c r="B43" i="9" s="1"/>
  <c r="H185" i="5"/>
  <c r="H183" i="5"/>
  <c r="H205" i="5"/>
  <c r="H203" i="5"/>
  <c r="H199" i="5"/>
  <c r="H197" i="5"/>
  <c r="H195" i="5"/>
  <c r="H187" i="5"/>
  <c r="H184" i="5"/>
  <c r="H182" i="5"/>
  <c r="H201" i="5"/>
  <c r="H236" i="5"/>
  <c r="H234" i="5"/>
  <c r="H232" i="5"/>
  <c r="H230" i="5"/>
  <c r="H228" i="5"/>
  <c r="H226" i="5"/>
  <c r="H224" i="5"/>
  <c r="H222" i="5"/>
  <c r="H220" i="5"/>
  <c r="H218" i="5"/>
  <c r="H216" i="5"/>
  <c r="H214" i="5"/>
  <c r="H212" i="5"/>
  <c r="H210" i="5"/>
  <c r="H208" i="5"/>
  <c r="H206" i="5"/>
  <c r="H204" i="5"/>
  <c r="H202" i="5"/>
  <c r="H200" i="5"/>
  <c r="H198" i="5"/>
  <c r="H196" i="5"/>
  <c r="H194" i="5"/>
  <c r="H192" i="5"/>
  <c r="H190" i="5"/>
  <c r="H188" i="5"/>
  <c r="H186" i="5"/>
  <c r="H237" i="5"/>
  <c r="H235" i="5"/>
  <c r="H233" i="5"/>
  <c r="H231" i="5"/>
  <c r="H229" i="5"/>
  <c r="H227" i="5"/>
  <c r="H225" i="5"/>
  <c r="H223" i="5"/>
  <c r="H221" i="5"/>
  <c r="H219" i="5"/>
  <c r="H217" i="5"/>
  <c r="H215" i="5"/>
  <c r="H213" i="5"/>
  <c r="H211" i="5"/>
  <c r="H209" i="5"/>
  <c r="H207" i="5"/>
  <c r="H193" i="5"/>
  <c r="H191" i="5"/>
  <c r="H189" i="5"/>
  <c r="H176" i="5"/>
  <c r="H174" i="5"/>
  <c r="H172" i="5"/>
  <c r="H170" i="5"/>
  <c r="H168" i="5"/>
  <c r="H166" i="5"/>
  <c r="H164" i="5"/>
  <c r="H162" i="5"/>
  <c r="H160" i="5"/>
  <c r="H158" i="5"/>
  <c r="H156" i="5"/>
  <c r="H154" i="5"/>
  <c r="H152" i="5"/>
  <c r="H150" i="5"/>
  <c r="H148" i="5"/>
  <c r="H146" i="5"/>
  <c r="H144" i="5"/>
  <c r="H142" i="5"/>
  <c r="H140" i="5"/>
  <c r="H138" i="5"/>
  <c r="H136" i="5"/>
  <c r="H134" i="5"/>
  <c r="H132" i="5"/>
  <c r="H130" i="5"/>
  <c r="H128" i="5"/>
  <c r="H126" i="5"/>
  <c r="H124" i="5"/>
  <c r="H122" i="5"/>
  <c r="H120" i="5"/>
  <c r="H118" i="5"/>
  <c r="H116" i="5"/>
  <c r="H114" i="5"/>
  <c r="H112" i="5"/>
  <c r="H110" i="5"/>
  <c r="H108" i="5"/>
  <c r="H106" i="5"/>
  <c r="H104" i="5"/>
  <c r="H102" i="5"/>
  <c r="H100" i="5"/>
  <c r="H98" i="5"/>
  <c r="H96" i="5"/>
  <c r="H94" i="5"/>
  <c r="H262" i="5"/>
  <c r="H260" i="5"/>
  <c r="H258" i="5"/>
  <c r="H256" i="5"/>
  <c r="H254" i="5"/>
  <c r="H252" i="5"/>
  <c r="H250" i="5"/>
  <c r="H248" i="5"/>
  <c r="H246" i="5"/>
  <c r="H244" i="5"/>
  <c r="H242" i="5"/>
  <c r="H240" i="5"/>
  <c r="H238" i="5"/>
  <c r="H269" i="5"/>
  <c r="H267" i="5"/>
  <c r="H265" i="5"/>
  <c r="H263" i="5"/>
  <c r="H277" i="5"/>
  <c r="H275" i="5"/>
  <c r="H273" i="5"/>
  <c r="H271" i="5"/>
  <c r="H279" i="5"/>
  <c r="N36" i="9" l="1"/>
  <c r="M40" i="9"/>
  <c r="C147" i="6"/>
  <c r="E147" i="6"/>
  <c r="G147" i="6"/>
  <c r="H147" i="6"/>
  <c r="C148" i="6"/>
  <c r="I148" i="6" s="1"/>
  <c r="E148" i="6"/>
  <c r="J148" i="6" s="1"/>
  <c r="G148" i="6"/>
  <c r="H148" i="6"/>
  <c r="I48" i="6"/>
  <c r="F37" i="6"/>
  <c r="G26" i="5"/>
  <c r="C26" i="5"/>
  <c r="C28" i="5" s="1"/>
  <c r="C29" i="5" s="1"/>
  <c r="C46" i="4"/>
  <c r="E6" i="7"/>
  <c r="H6" i="7"/>
  <c r="K6" i="7"/>
  <c r="N6" i="7"/>
  <c r="Q6" i="7"/>
  <c r="E8" i="7"/>
  <c r="H8" i="7"/>
  <c r="K8" i="7"/>
  <c r="N8" i="7"/>
  <c r="Q8" i="7"/>
  <c r="E10" i="7"/>
  <c r="H10" i="7"/>
  <c r="K10" i="7"/>
  <c r="N10" i="7"/>
  <c r="Q10" i="7"/>
  <c r="E12" i="7"/>
  <c r="H12" i="7"/>
  <c r="K12" i="7"/>
  <c r="N12" i="7"/>
  <c r="Q12" i="7"/>
  <c r="E14" i="7"/>
  <c r="N14" i="7"/>
  <c r="Q14" i="7"/>
  <c r="E16" i="7"/>
  <c r="N16" i="7"/>
  <c r="Q16" i="7"/>
  <c r="E18" i="7"/>
  <c r="H18" i="7"/>
  <c r="K18" i="7"/>
  <c r="N18" i="7"/>
  <c r="Q18" i="7"/>
  <c r="E20" i="7"/>
  <c r="H20" i="7"/>
  <c r="K20" i="7"/>
  <c r="N20" i="7"/>
  <c r="Q20" i="7"/>
  <c r="N21" i="7"/>
  <c r="Q21" i="7"/>
  <c r="E22" i="7"/>
  <c r="H22" i="7"/>
  <c r="K22" i="7"/>
  <c r="N22" i="7"/>
  <c r="Q22" i="7"/>
  <c r="E23" i="7"/>
  <c r="H23" i="7"/>
  <c r="K23" i="7"/>
  <c r="E24" i="7"/>
  <c r="H24" i="7"/>
  <c r="K24" i="7"/>
  <c r="N24" i="7"/>
  <c r="Q24" i="7"/>
  <c r="E29" i="7"/>
  <c r="H29" i="7"/>
  <c r="K29" i="7"/>
  <c r="N29" i="7"/>
  <c r="Q29" i="7"/>
  <c r="E31" i="7"/>
  <c r="H31" i="7"/>
  <c r="K31" i="7"/>
  <c r="O31" i="7"/>
  <c r="P31" i="7"/>
  <c r="N31" i="7" s="1"/>
  <c r="R31" i="7"/>
  <c r="S31" i="7"/>
  <c r="Q31" i="7"/>
  <c r="E33" i="7"/>
  <c r="H33" i="7"/>
  <c r="K33" i="7"/>
  <c r="P33" i="7"/>
  <c r="N33" i="7" s="1"/>
  <c r="S33" i="7"/>
  <c r="Q33" i="7" s="1"/>
  <c r="E35" i="7"/>
  <c r="H35" i="7"/>
  <c r="K35" i="7"/>
  <c r="N35" i="7"/>
  <c r="Q35" i="7"/>
  <c r="H37" i="7"/>
  <c r="K37" i="7"/>
  <c r="N37" i="7"/>
  <c r="Q37" i="7"/>
  <c r="H38" i="7"/>
  <c r="K38" i="7"/>
  <c r="N38" i="7"/>
  <c r="Q38" i="7"/>
  <c r="E39" i="7"/>
  <c r="E40" i="7" s="1"/>
  <c r="H39" i="7"/>
  <c r="K39" i="7"/>
  <c r="N39" i="7"/>
  <c r="Q39" i="7"/>
  <c r="K40" i="7"/>
  <c r="E41" i="7"/>
  <c r="H41" i="7"/>
  <c r="E49" i="7" s="1"/>
  <c r="K41" i="7"/>
  <c r="E44" i="7"/>
  <c r="E46" i="7" s="1"/>
  <c r="H44" i="7"/>
  <c r="K44" i="7"/>
  <c r="N44" i="7"/>
  <c r="Q44" i="7"/>
  <c r="H60" i="7"/>
  <c r="I60" i="7"/>
  <c r="I63" i="7" s="1"/>
  <c r="H61" i="7"/>
  <c r="I61" i="7"/>
  <c r="M61" i="7"/>
  <c r="N61" i="7"/>
  <c r="O61" i="7"/>
  <c r="P61" i="7"/>
  <c r="H62" i="7"/>
  <c r="I62" i="7"/>
  <c r="M62" i="7"/>
  <c r="N62" i="7"/>
  <c r="N63" i="7" s="1"/>
  <c r="O62" i="7"/>
  <c r="P62" i="7" s="1"/>
  <c r="P63" i="7" s="1"/>
  <c r="G63" i="7"/>
  <c r="H63" i="7"/>
  <c r="C72" i="7"/>
  <c r="D72" i="7" s="1"/>
  <c r="C73" i="7"/>
  <c r="D73" i="7" s="1"/>
  <c r="C74" i="7"/>
  <c r="D74" i="7" s="1"/>
  <c r="C75" i="7"/>
  <c r="D75" i="7" s="1"/>
  <c r="C76" i="7"/>
  <c r="D76" i="7" s="1"/>
  <c r="C77" i="7"/>
  <c r="D77" i="7" s="1"/>
  <c r="F39" i="6"/>
  <c r="F40" i="6" s="1"/>
  <c r="I40" i="6"/>
  <c r="E48" i="6" s="1"/>
  <c r="J48" i="6" s="1"/>
  <c r="C49" i="6"/>
  <c r="E49" i="6"/>
  <c r="G49" i="6"/>
  <c r="H49" i="6"/>
  <c r="C50" i="6"/>
  <c r="E50" i="6"/>
  <c r="J50" i="6" s="1"/>
  <c r="G50" i="6"/>
  <c r="H50" i="6"/>
  <c r="C51" i="6"/>
  <c r="E51" i="6"/>
  <c r="J51" i="6" s="1"/>
  <c r="G51" i="6"/>
  <c r="H51" i="6"/>
  <c r="C52" i="6"/>
  <c r="G52" i="6"/>
  <c r="H52" i="6"/>
  <c r="C53" i="6"/>
  <c r="G53" i="6"/>
  <c r="H53" i="6"/>
  <c r="C54" i="6"/>
  <c r="G54" i="6"/>
  <c r="H54" i="6"/>
  <c r="C55" i="6"/>
  <c r="G55" i="6"/>
  <c r="H55" i="6"/>
  <c r="C56" i="6"/>
  <c r="G56" i="6"/>
  <c r="H56" i="6"/>
  <c r="C57" i="6"/>
  <c r="G57" i="6"/>
  <c r="H57" i="6"/>
  <c r="C58" i="6"/>
  <c r="G58" i="6"/>
  <c r="H58" i="6"/>
  <c r="C59" i="6"/>
  <c r="G59" i="6"/>
  <c r="H59" i="6"/>
  <c r="C60" i="6"/>
  <c r="G60" i="6"/>
  <c r="H60" i="6"/>
  <c r="C61" i="6"/>
  <c r="G61" i="6"/>
  <c r="H61" i="6"/>
  <c r="C62" i="6"/>
  <c r="G62" i="6"/>
  <c r="H62" i="6"/>
  <c r="C63" i="6"/>
  <c r="G63" i="6"/>
  <c r="H63" i="6"/>
  <c r="C64" i="6"/>
  <c r="G64" i="6"/>
  <c r="H64" i="6"/>
  <c r="C65" i="6"/>
  <c r="G65" i="6"/>
  <c r="H65" i="6"/>
  <c r="C66" i="6"/>
  <c r="G66" i="6"/>
  <c r="H66" i="6"/>
  <c r="C67" i="6"/>
  <c r="G67" i="6"/>
  <c r="H67" i="6"/>
  <c r="C68" i="6"/>
  <c r="G68" i="6"/>
  <c r="H68" i="6"/>
  <c r="C69" i="6"/>
  <c r="G69" i="6"/>
  <c r="H69" i="6"/>
  <c r="C70" i="6"/>
  <c r="G70" i="6"/>
  <c r="H70" i="6"/>
  <c r="C71" i="6"/>
  <c r="G71" i="6"/>
  <c r="H71" i="6"/>
  <c r="C72" i="6"/>
  <c r="G72" i="6"/>
  <c r="H72" i="6"/>
  <c r="C73" i="6"/>
  <c r="G73" i="6"/>
  <c r="H73" i="6"/>
  <c r="C74" i="6"/>
  <c r="G74" i="6"/>
  <c r="H74" i="6"/>
  <c r="C75" i="6"/>
  <c r="G75" i="6"/>
  <c r="H75" i="6"/>
  <c r="C76" i="6"/>
  <c r="G76" i="6"/>
  <c r="H76" i="6"/>
  <c r="C77" i="6"/>
  <c r="G77" i="6"/>
  <c r="H77" i="6"/>
  <c r="C78" i="6"/>
  <c r="G78" i="6"/>
  <c r="H78" i="6"/>
  <c r="C79" i="6"/>
  <c r="G79" i="6"/>
  <c r="H79" i="6"/>
  <c r="C80" i="6"/>
  <c r="G80" i="6"/>
  <c r="H80" i="6"/>
  <c r="C81" i="6"/>
  <c r="G81" i="6"/>
  <c r="H81" i="6"/>
  <c r="C82" i="6"/>
  <c r="G82" i="6"/>
  <c r="H82" i="6"/>
  <c r="C83" i="6"/>
  <c r="G83" i="6"/>
  <c r="H83" i="6"/>
  <c r="C84" i="6"/>
  <c r="G84" i="6"/>
  <c r="H84" i="6"/>
  <c r="C85" i="6"/>
  <c r="G85" i="6"/>
  <c r="H85" i="6"/>
  <c r="C86" i="6"/>
  <c r="G86" i="6"/>
  <c r="H86" i="6"/>
  <c r="C87" i="6"/>
  <c r="G87" i="6"/>
  <c r="H87" i="6"/>
  <c r="C88" i="6"/>
  <c r="G88" i="6"/>
  <c r="H88" i="6"/>
  <c r="C89" i="6"/>
  <c r="G89" i="6"/>
  <c r="H89" i="6"/>
  <c r="C90" i="6"/>
  <c r="G90" i="6"/>
  <c r="H90" i="6"/>
  <c r="C91" i="6"/>
  <c r="G91" i="6"/>
  <c r="H91" i="6"/>
  <c r="C92" i="6"/>
  <c r="G92" i="6"/>
  <c r="H92" i="6"/>
  <c r="C93" i="6"/>
  <c r="G93" i="6"/>
  <c r="H93" i="6"/>
  <c r="C94" i="6"/>
  <c r="G94" i="6"/>
  <c r="H94" i="6"/>
  <c r="C95" i="6"/>
  <c r="G95" i="6"/>
  <c r="H95" i="6"/>
  <c r="C96" i="6"/>
  <c r="G96" i="6"/>
  <c r="H96" i="6"/>
  <c r="C97" i="6"/>
  <c r="G97" i="6"/>
  <c r="H97" i="6"/>
  <c r="C98" i="6"/>
  <c r="G98" i="6"/>
  <c r="H98" i="6"/>
  <c r="C99" i="6"/>
  <c r="G99" i="6"/>
  <c r="H99" i="6"/>
  <c r="C100" i="6"/>
  <c r="G100" i="6"/>
  <c r="H100" i="6"/>
  <c r="C101" i="6"/>
  <c r="G101" i="6"/>
  <c r="H101" i="6"/>
  <c r="C102" i="6"/>
  <c r="G102" i="6"/>
  <c r="H102" i="6"/>
  <c r="C103" i="6"/>
  <c r="G103" i="6"/>
  <c r="H103" i="6"/>
  <c r="C104" i="6"/>
  <c r="G104" i="6"/>
  <c r="H104" i="6"/>
  <c r="C105" i="6"/>
  <c r="G105" i="6"/>
  <c r="H105" i="6"/>
  <c r="C106" i="6"/>
  <c r="G106" i="6"/>
  <c r="H106" i="6"/>
  <c r="C107" i="6"/>
  <c r="G107" i="6"/>
  <c r="H107" i="6"/>
  <c r="C108" i="6"/>
  <c r="G108" i="6"/>
  <c r="H108" i="6"/>
  <c r="C109" i="6"/>
  <c r="G109" i="6"/>
  <c r="H109" i="6"/>
  <c r="C110" i="6"/>
  <c r="G110" i="6"/>
  <c r="H110" i="6"/>
  <c r="C111" i="6"/>
  <c r="G111" i="6"/>
  <c r="H111" i="6"/>
  <c r="C112" i="6"/>
  <c r="G112" i="6"/>
  <c r="H112" i="6"/>
  <c r="C113" i="6"/>
  <c r="G113" i="6"/>
  <c r="H113" i="6"/>
  <c r="C114" i="6"/>
  <c r="G114" i="6"/>
  <c r="H114" i="6"/>
  <c r="C115" i="6"/>
  <c r="G115" i="6"/>
  <c r="H115" i="6"/>
  <c r="C116" i="6"/>
  <c r="G116" i="6"/>
  <c r="H116" i="6"/>
  <c r="C117" i="6"/>
  <c r="G117" i="6"/>
  <c r="H117" i="6"/>
  <c r="C118" i="6"/>
  <c r="G118" i="6"/>
  <c r="H118" i="6"/>
  <c r="C119" i="6"/>
  <c r="E119" i="6"/>
  <c r="J119" i="6" s="1"/>
  <c r="G119" i="6"/>
  <c r="H119" i="6"/>
  <c r="C120" i="6"/>
  <c r="E120" i="6"/>
  <c r="J120" i="6" s="1"/>
  <c r="G120" i="6"/>
  <c r="H120" i="6"/>
  <c r="C121" i="6"/>
  <c r="E121" i="6"/>
  <c r="J121" i="6" s="1"/>
  <c r="G121" i="6"/>
  <c r="H121" i="6"/>
  <c r="C122" i="6"/>
  <c r="E122" i="6"/>
  <c r="J122" i="6" s="1"/>
  <c r="G122" i="6"/>
  <c r="H122" i="6"/>
  <c r="C123" i="6"/>
  <c r="E123" i="6"/>
  <c r="J123" i="6" s="1"/>
  <c r="G123" i="6"/>
  <c r="H123" i="6"/>
  <c r="C124" i="6"/>
  <c r="E124" i="6"/>
  <c r="J124" i="6" s="1"/>
  <c r="G124" i="6"/>
  <c r="H124" i="6"/>
  <c r="C125" i="6"/>
  <c r="E125" i="6"/>
  <c r="J125" i="6" s="1"/>
  <c r="G125" i="6"/>
  <c r="H125" i="6"/>
  <c r="C126" i="6"/>
  <c r="E126" i="6"/>
  <c r="J126" i="6" s="1"/>
  <c r="G126" i="6"/>
  <c r="H126" i="6"/>
  <c r="C127" i="6"/>
  <c r="E127" i="6"/>
  <c r="J127" i="6" s="1"/>
  <c r="G127" i="6"/>
  <c r="H127" i="6"/>
  <c r="C128" i="6"/>
  <c r="E128" i="6"/>
  <c r="J128" i="6" s="1"/>
  <c r="G128" i="6"/>
  <c r="H128" i="6"/>
  <c r="C129" i="6"/>
  <c r="E129" i="6"/>
  <c r="J129" i="6" s="1"/>
  <c r="G129" i="6"/>
  <c r="H129" i="6"/>
  <c r="C130" i="6"/>
  <c r="E130" i="6"/>
  <c r="J130" i="6" s="1"/>
  <c r="G130" i="6"/>
  <c r="H130" i="6"/>
  <c r="C131" i="6"/>
  <c r="E131" i="6"/>
  <c r="J131" i="6" s="1"/>
  <c r="G131" i="6"/>
  <c r="H131" i="6"/>
  <c r="C132" i="6"/>
  <c r="E132" i="6"/>
  <c r="J132" i="6" s="1"/>
  <c r="G132" i="6"/>
  <c r="H132" i="6"/>
  <c r="C133" i="6"/>
  <c r="E133" i="6"/>
  <c r="J133" i="6" s="1"/>
  <c r="G133" i="6"/>
  <c r="H133" i="6"/>
  <c r="C134" i="6"/>
  <c r="E134" i="6"/>
  <c r="J134" i="6" s="1"/>
  <c r="G134" i="6"/>
  <c r="H134" i="6"/>
  <c r="C135" i="6"/>
  <c r="E135" i="6"/>
  <c r="J135" i="6" s="1"/>
  <c r="G135" i="6"/>
  <c r="H135" i="6"/>
  <c r="C136" i="6"/>
  <c r="E136" i="6"/>
  <c r="J136" i="6" s="1"/>
  <c r="G136" i="6"/>
  <c r="H136" i="6"/>
  <c r="C137" i="6"/>
  <c r="E137" i="6"/>
  <c r="J137" i="6" s="1"/>
  <c r="G137" i="6"/>
  <c r="H137" i="6"/>
  <c r="C138" i="6"/>
  <c r="I138" i="6" s="1"/>
  <c r="E138" i="6"/>
  <c r="J138" i="6" s="1"/>
  <c r="G138" i="6"/>
  <c r="H138" i="6"/>
  <c r="C139" i="6"/>
  <c r="E139" i="6"/>
  <c r="J139" i="6" s="1"/>
  <c r="G139" i="6"/>
  <c r="H139" i="6"/>
  <c r="C140" i="6"/>
  <c r="I140" i="6" s="1"/>
  <c r="E140" i="6"/>
  <c r="J140" i="6" s="1"/>
  <c r="G140" i="6"/>
  <c r="H140" i="6"/>
  <c r="C141" i="6"/>
  <c r="E141" i="6"/>
  <c r="J141" i="6" s="1"/>
  <c r="G141" i="6"/>
  <c r="H141" i="6"/>
  <c r="C142" i="6"/>
  <c r="I142" i="6" s="1"/>
  <c r="E142" i="6"/>
  <c r="J142" i="6" s="1"/>
  <c r="G142" i="6"/>
  <c r="H142" i="6"/>
  <c r="C143" i="6"/>
  <c r="E143" i="6"/>
  <c r="J143" i="6" s="1"/>
  <c r="G143" i="6"/>
  <c r="H143" i="6"/>
  <c r="C144" i="6"/>
  <c r="I144" i="6" s="1"/>
  <c r="E144" i="6"/>
  <c r="J144" i="6" s="1"/>
  <c r="G144" i="6"/>
  <c r="H144" i="6"/>
  <c r="C145" i="6"/>
  <c r="E145" i="6"/>
  <c r="J145" i="6" s="1"/>
  <c r="G145" i="6"/>
  <c r="H145" i="6"/>
  <c r="C146" i="6"/>
  <c r="I146" i="6" s="1"/>
  <c r="E146" i="6"/>
  <c r="J146" i="6" s="1"/>
  <c r="G146" i="6"/>
  <c r="H146" i="6"/>
  <c r="D8" i="5"/>
  <c r="D10" i="5" s="1"/>
  <c r="I10" i="5" s="1"/>
  <c r="F35" i="5" s="1"/>
  <c r="L8" i="5"/>
  <c r="L10" i="5"/>
  <c r="G28" i="5"/>
  <c r="G29" i="5" s="1"/>
  <c r="C33" i="5"/>
  <c r="D33" i="5" s="1"/>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C49" i="5"/>
  <c r="G49" i="5"/>
  <c r="C50" i="5"/>
  <c r="G50" i="5"/>
  <c r="C51" i="5"/>
  <c r="G51" i="5"/>
  <c r="C52" i="5"/>
  <c r="G52" i="5"/>
  <c r="C53" i="5"/>
  <c r="G53" i="5"/>
  <c r="C54" i="5"/>
  <c r="G54" i="5"/>
  <c r="C55" i="5"/>
  <c r="G55" i="5"/>
  <c r="C56" i="5"/>
  <c r="G56" i="5"/>
  <c r="C57" i="5"/>
  <c r="G57" i="5"/>
  <c r="C58" i="5"/>
  <c r="G58" i="5"/>
  <c r="C59" i="5"/>
  <c r="G59" i="5"/>
  <c r="C60" i="5"/>
  <c r="G60" i="5"/>
  <c r="C61" i="5"/>
  <c r="G61" i="5"/>
  <c r="C62" i="5"/>
  <c r="G62" i="5"/>
  <c r="C44" i="4"/>
  <c r="C53" i="4"/>
  <c r="D53" i="4" s="1"/>
  <c r="C48" i="4"/>
  <c r="C49" i="4" s="1"/>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E137" i="4"/>
  <c r="C137" i="4"/>
  <c r="E136" i="4"/>
  <c r="C136" i="4"/>
  <c r="E135" i="4"/>
  <c r="C135" i="4"/>
  <c r="E134" i="4"/>
  <c r="C134" i="4"/>
  <c r="E133" i="4"/>
  <c r="C133" i="4"/>
  <c r="E132" i="4"/>
  <c r="C132" i="4"/>
  <c r="E131" i="4"/>
  <c r="C131" i="4"/>
  <c r="E130" i="4"/>
  <c r="C130" i="4"/>
  <c r="E129" i="4"/>
  <c r="C129" i="4"/>
  <c r="E128" i="4"/>
  <c r="C128" i="4"/>
  <c r="E127" i="4"/>
  <c r="C127" i="4"/>
  <c r="E126" i="4"/>
  <c r="C126" i="4"/>
  <c r="E125" i="4"/>
  <c r="C125" i="4"/>
  <c r="E124" i="4"/>
  <c r="C124" i="4"/>
  <c r="E123" i="4"/>
  <c r="C123" i="4"/>
  <c r="E122" i="4"/>
  <c r="C122" i="4"/>
  <c r="E121" i="4"/>
  <c r="C121" i="4"/>
  <c r="E120" i="4"/>
  <c r="C120" i="4"/>
  <c r="E119" i="4"/>
  <c r="C119" i="4"/>
  <c r="E118" i="4"/>
  <c r="C118" i="4"/>
  <c r="E117" i="4"/>
  <c r="C117" i="4"/>
  <c r="E116" i="4"/>
  <c r="C116" i="4"/>
  <c r="E115" i="4"/>
  <c r="C115" i="4"/>
  <c r="E114" i="4"/>
  <c r="C114" i="4"/>
  <c r="E113" i="4"/>
  <c r="C113" i="4"/>
  <c r="E112" i="4"/>
  <c r="C112" i="4"/>
  <c r="E111" i="4"/>
  <c r="C111" i="4"/>
  <c r="E110" i="4"/>
  <c r="C110" i="4"/>
  <c r="E109" i="4"/>
  <c r="C109" i="4"/>
  <c r="E108" i="4"/>
  <c r="C108" i="4"/>
  <c r="E107" i="4"/>
  <c r="C107" i="4"/>
  <c r="E106" i="4"/>
  <c r="C106" i="4"/>
  <c r="E105" i="4"/>
  <c r="C105" i="4"/>
  <c r="E104" i="4"/>
  <c r="C104" i="4"/>
  <c r="E103" i="4"/>
  <c r="C103" i="4"/>
  <c r="E102" i="4"/>
  <c r="C102" i="4"/>
  <c r="E101" i="4"/>
  <c r="C101" i="4"/>
  <c r="E100" i="4"/>
  <c r="C100" i="4"/>
  <c r="E99" i="4"/>
  <c r="C99" i="4"/>
  <c r="E98" i="4"/>
  <c r="C98" i="4"/>
  <c r="E97" i="4"/>
  <c r="C97" i="4"/>
  <c r="E96" i="4"/>
  <c r="C96" i="4"/>
  <c r="E95" i="4"/>
  <c r="C95" i="4"/>
  <c r="E94" i="4"/>
  <c r="C94" i="4"/>
  <c r="E93" i="4"/>
  <c r="C93" i="4"/>
  <c r="E92" i="4"/>
  <c r="C92" i="4"/>
  <c r="E91" i="4"/>
  <c r="C91" i="4"/>
  <c r="E90" i="4"/>
  <c r="C90" i="4"/>
  <c r="E89" i="4"/>
  <c r="C89" i="4"/>
  <c r="E88" i="4"/>
  <c r="C88" i="4"/>
  <c r="E87" i="4"/>
  <c r="C87" i="4"/>
  <c r="E86" i="4"/>
  <c r="C86" i="4"/>
  <c r="E85" i="4"/>
  <c r="C85" i="4"/>
  <c r="E84" i="4"/>
  <c r="C84" i="4"/>
  <c r="E83" i="4"/>
  <c r="C83" i="4"/>
  <c r="E82" i="4"/>
  <c r="C82" i="4"/>
  <c r="E81" i="4"/>
  <c r="C81" i="4"/>
  <c r="E80" i="4"/>
  <c r="C80" i="4"/>
  <c r="E79" i="4"/>
  <c r="C79" i="4"/>
  <c r="E78" i="4"/>
  <c r="C78" i="4"/>
  <c r="E77" i="4"/>
  <c r="C77" i="4"/>
  <c r="E76" i="4"/>
  <c r="C76" i="4"/>
  <c r="E75" i="4"/>
  <c r="C75" i="4"/>
  <c r="E74" i="4"/>
  <c r="C74" i="4"/>
  <c r="E73" i="4"/>
  <c r="C73" i="4"/>
  <c r="E72" i="4"/>
  <c r="C72" i="4"/>
  <c r="E71" i="4"/>
  <c r="C71" i="4"/>
  <c r="E70" i="4"/>
  <c r="C70" i="4"/>
  <c r="E69" i="4"/>
  <c r="C69" i="4"/>
  <c r="E68" i="4"/>
  <c r="C68" i="4"/>
  <c r="E67" i="4"/>
  <c r="C67" i="4"/>
  <c r="E66" i="4"/>
  <c r="C66" i="4"/>
  <c r="E65" i="4"/>
  <c r="C65" i="4"/>
  <c r="E64" i="4"/>
  <c r="C64" i="4"/>
  <c r="E63" i="4"/>
  <c r="C63" i="4"/>
  <c r="E62" i="4"/>
  <c r="C62" i="4"/>
  <c r="E61" i="4"/>
  <c r="C61" i="4"/>
  <c r="E60" i="4"/>
  <c r="C60" i="4"/>
  <c r="E59" i="4"/>
  <c r="C59" i="4"/>
  <c r="E58" i="4"/>
  <c r="C58" i="4"/>
  <c r="E57" i="4"/>
  <c r="C57" i="4"/>
  <c r="E56" i="4"/>
  <c r="C56" i="4"/>
  <c r="E55" i="4"/>
  <c r="C55" i="4"/>
  <c r="E54" i="4"/>
  <c r="C54" i="4"/>
  <c r="E53" i="4"/>
  <c r="N41" i="7"/>
  <c r="Q41" i="7"/>
  <c r="Q40" i="7"/>
  <c r="O36" i="9" l="1"/>
  <c r="N40" i="9"/>
  <c r="O40" i="9" s="1"/>
  <c r="B45" i="9" s="1"/>
  <c r="E50" i="7"/>
  <c r="E51" i="7" s="1"/>
  <c r="H40" i="7"/>
  <c r="N40" i="7"/>
  <c r="C281" i="5"/>
  <c r="C280" i="5"/>
  <c r="C272" i="5"/>
  <c r="C274" i="5"/>
  <c r="C276" i="5"/>
  <c r="C278" i="5"/>
  <c r="C264" i="5"/>
  <c r="C266" i="5"/>
  <c r="C268" i="5"/>
  <c r="C270" i="5"/>
  <c r="C239" i="5"/>
  <c r="C241" i="5"/>
  <c r="C243" i="5"/>
  <c r="C245" i="5"/>
  <c r="C247" i="5"/>
  <c r="C249" i="5"/>
  <c r="C251" i="5"/>
  <c r="C253" i="5"/>
  <c r="C255" i="5"/>
  <c r="C257" i="5"/>
  <c r="C259" i="5"/>
  <c r="C261" i="5"/>
  <c r="C93" i="5"/>
  <c r="C95" i="5"/>
  <c r="C97" i="5"/>
  <c r="C99" i="5"/>
  <c r="C101" i="5"/>
  <c r="C103" i="5"/>
  <c r="C105" i="5"/>
  <c r="C107" i="5"/>
  <c r="C109" i="5"/>
  <c r="C111" i="5"/>
  <c r="C113" i="5"/>
  <c r="C115" i="5"/>
  <c r="C117" i="5"/>
  <c r="C119" i="5"/>
  <c r="C121" i="5"/>
  <c r="C279" i="5"/>
  <c r="C271" i="5"/>
  <c r="C273" i="5"/>
  <c r="C275" i="5"/>
  <c r="C277" i="5"/>
  <c r="C263" i="5"/>
  <c r="C265" i="5"/>
  <c r="C267" i="5"/>
  <c r="C269" i="5"/>
  <c r="C238" i="5"/>
  <c r="C240" i="5"/>
  <c r="C242" i="5"/>
  <c r="C244" i="5"/>
  <c r="C246" i="5"/>
  <c r="C248" i="5"/>
  <c r="C250" i="5"/>
  <c r="C252" i="5"/>
  <c r="C254" i="5"/>
  <c r="C256" i="5"/>
  <c r="C258" i="5"/>
  <c r="C260" i="5"/>
  <c r="C262" i="5"/>
  <c r="C94" i="5"/>
  <c r="C96" i="5"/>
  <c r="C98" i="5"/>
  <c r="C100" i="5"/>
  <c r="C102" i="5"/>
  <c r="C104" i="5"/>
  <c r="C106" i="5"/>
  <c r="C108" i="5"/>
  <c r="C110" i="5"/>
  <c r="C112" i="5"/>
  <c r="C114" i="5"/>
  <c r="C116" i="5"/>
  <c r="C118" i="5"/>
  <c r="C120" i="5"/>
  <c r="C122" i="5"/>
  <c r="C124" i="5"/>
  <c r="C126" i="5"/>
  <c r="C128" i="5"/>
  <c r="C130" i="5"/>
  <c r="C132" i="5"/>
  <c r="C134" i="5"/>
  <c r="C136" i="5"/>
  <c r="C138" i="5"/>
  <c r="C140" i="5"/>
  <c r="C142" i="5"/>
  <c r="C144" i="5"/>
  <c r="C146" i="5"/>
  <c r="C148" i="5"/>
  <c r="C150" i="5"/>
  <c r="C152" i="5"/>
  <c r="C154" i="5"/>
  <c r="C156" i="5"/>
  <c r="C158" i="5"/>
  <c r="C160" i="5"/>
  <c r="C162" i="5"/>
  <c r="C164" i="5"/>
  <c r="C166" i="5"/>
  <c r="C168" i="5"/>
  <c r="C170" i="5"/>
  <c r="C172" i="5"/>
  <c r="C174" i="5"/>
  <c r="C176" i="5"/>
  <c r="C178" i="5"/>
  <c r="C179" i="5"/>
  <c r="C180" i="5"/>
  <c r="C182" i="5"/>
  <c r="C184" i="5"/>
  <c r="C186" i="5"/>
  <c r="C188" i="5"/>
  <c r="C190" i="5"/>
  <c r="C192" i="5"/>
  <c r="C194" i="5"/>
  <c r="C196" i="5"/>
  <c r="C198" i="5"/>
  <c r="C200" i="5"/>
  <c r="C202" i="5"/>
  <c r="C204" i="5"/>
  <c r="C206" i="5"/>
  <c r="C208" i="5"/>
  <c r="C210" i="5"/>
  <c r="C212" i="5"/>
  <c r="C214" i="5"/>
  <c r="C216" i="5"/>
  <c r="C123" i="5"/>
  <c r="C127" i="5"/>
  <c r="C135" i="5"/>
  <c r="C147" i="5"/>
  <c r="C163" i="5"/>
  <c r="C189" i="5"/>
  <c r="C201" i="5"/>
  <c r="C219" i="5"/>
  <c r="C225" i="5"/>
  <c r="C233" i="5"/>
  <c r="C65" i="5"/>
  <c r="C71" i="5"/>
  <c r="C75" i="5"/>
  <c r="C81" i="5"/>
  <c r="C87" i="5"/>
  <c r="C91" i="5"/>
  <c r="C125" i="5"/>
  <c r="C129" i="5"/>
  <c r="C133" i="5"/>
  <c r="C137" i="5"/>
  <c r="C141" i="5"/>
  <c r="C145" i="5"/>
  <c r="C149" i="5"/>
  <c r="C153" i="5"/>
  <c r="C157" i="5"/>
  <c r="C161" i="5"/>
  <c r="C165" i="5"/>
  <c r="C169" i="5"/>
  <c r="C173" i="5"/>
  <c r="C177" i="5"/>
  <c r="C183" i="5"/>
  <c r="C187" i="5"/>
  <c r="C191" i="5"/>
  <c r="C195" i="5"/>
  <c r="C199" i="5"/>
  <c r="C203" i="5"/>
  <c r="C207" i="5"/>
  <c r="C211" i="5"/>
  <c r="C215" i="5"/>
  <c r="C218" i="5"/>
  <c r="C220" i="5"/>
  <c r="C222" i="5"/>
  <c r="C224" i="5"/>
  <c r="C226" i="5"/>
  <c r="C228" i="5"/>
  <c r="C230" i="5"/>
  <c r="C232" i="5"/>
  <c r="C234" i="5"/>
  <c r="C236" i="5"/>
  <c r="C64" i="5"/>
  <c r="C66" i="5"/>
  <c r="C68" i="5"/>
  <c r="C70" i="5"/>
  <c r="C72" i="5"/>
  <c r="C74" i="5"/>
  <c r="C76" i="5"/>
  <c r="C78" i="5"/>
  <c r="C80" i="5"/>
  <c r="C82" i="5"/>
  <c r="C84" i="5"/>
  <c r="C86" i="5"/>
  <c r="C88" i="5"/>
  <c r="C90" i="5"/>
  <c r="C92" i="5"/>
  <c r="C131" i="5"/>
  <c r="C139" i="5"/>
  <c r="C143" i="5"/>
  <c r="C151" i="5"/>
  <c r="C155" i="5"/>
  <c r="C159" i="5"/>
  <c r="C167" i="5"/>
  <c r="C171" i="5"/>
  <c r="C175" i="5"/>
  <c r="C181" i="5"/>
  <c r="C185" i="5"/>
  <c r="C193" i="5"/>
  <c r="C197" i="5"/>
  <c r="C205" i="5"/>
  <c r="C209" i="5"/>
  <c r="C213" i="5"/>
  <c r="C217" i="5"/>
  <c r="C221" i="5"/>
  <c r="C223" i="5"/>
  <c r="C227" i="5"/>
  <c r="C229" i="5"/>
  <c r="C231" i="5"/>
  <c r="C235" i="5"/>
  <c r="C237" i="5"/>
  <c r="C63" i="5"/>
  <c r="C67" i="5"/>
  <c r="C69" i="5"/>
  <c r="C73" i="5"/>
  <c r="C77" i="5"/>
  <c r="C79" i="5"/>
  <c r="C83" i="5"/>
  <c r="C85" i="5"/>
  <c r="C89" i="5"/>
  <c r="D34" i="5"/>
  <c r="D35" i="5" s="1"/>
  <c r="D36" i="5" s="1"/>
  <c r="D37" i="5" s="1"/>
  <c r="D38" i="5" s="1"/>
  <c r="D39" i="5" s="1"/>
  <c r="D40" i="5" s="1"/>
  <c r="D41" i="5" s="1"/>
  <c r="D42" i="5" s="1"/>
  <c r="D43" i="5" s="1"/>
  <c r="D44" i="5" s="1"/>
  <c r="D45" i="5" s="1"/>
  <c r="D46" i="5" s="1"/>
  <c r="D47" i="5" s="1"/>
  <c r="D48" i="5" s="1"/>
  <c r="D49" i="5" s="1"/>
  <c r="D50" i="5" s="1"/>
  <c r="D51" i="5" s="1"/>
  <c r="D52" i="5" s="1"/>
  <c r="D53" i="5" s="1"/>
  <c r="D54" i="5" s="1"/>
  <c r="D55" i="5" s="1"/>
  <c r="D56" i="5" s="1"/>
  <c r="D57" i="5" s="1"/>
  <c r="D58" i="5" s="1"/>
  <c r="D59" i="5" s="1"/>
  <c r="D60" i="5" s="1"/>
  <c r="D61" i="5" s="1"/>
  <c r="D62" i="5" s="1"/>
  <c r="F33" i="5"/>
  <c r="F63" i="5"/>
  <c r="H63" i="5" s="1"/>
  <c r="F65" i="5"/>
  <c r="H65" i="5" s="1"/>
  <c r="F67" i="5"/>
  <c r="H67" i="5" s="1"/>
  <c r="F69" i="5"/>
  <c r="H69" i="5" s="1"/>
  <c r="F71" i="5"/>
  <c r="H71" i="5" s="1"/>
  <c r="F73" i="5"/>
  <c r="H73" i="5" s="1"/>
  <c r="F64" i="5"/>
  <c r="H64" i="5" s="1"/>
  <c r="F66" i="5"/>
  <c r="H66" i="5" s="1"/>
  <c r="F68" i="5"/>
  <c r="H68" i="5" s="1"/>
  <c r="F70" i="5"/>
  <c r="H70" i="5" s="1"/>
  <c r="F72" i="5"/>
  <c r="H72" i="5" s="1"/>
  <c r="F74" i="5"/>
  <c r="H74" i="5" s="1"/>
  <c r="F75" i="5"/>
  <c r="H75" i="5" s="1"/>
  <c r="F76" i="5"/>
  <c r="H76" i="5" s="1"/>
  <c r="F77" i="5"/>
  <c r="H77" i="5" s="1"/>
  <c r="F78" i="5"/>
  <c r="H78" i="5" s="1"/>
  <c r="F79" i="5"/>
  <c r="H79" i="5" s="1"/>
  <c r="F80" i="5"/>
  <c r="H80" i="5" s="1"/>
  <c r="F81" i="5"/>
  <c r="H81" i="5" s="1"/>
  <c r="F82" i="5"/>
  <c r="H82" i="5" s="1"/>
  <c r="F83" i="5"/>
  <c r="H83" i="5" s="1"/>
  <c r="F84" i="5"/>
  <c r="H84" i="5" s="1"/>
  <c r="F85" i="5"/>
  <c r="H85" i="5" s="1"/>
  <c r="F86" i="5"/>
  <c r="H86" i="5" s="1"/>
  <c r="F87" i="5"/>
  <c r="H87" i="5" s="1"/>
  <c r="F88" i="5"/>
  <c r="H88" i="5" s="1"/>
  <c r="F89" i="5"/>
  <c r="H89" i="5" s="1"/>
  <c r="F90" i="5"/>
  <c r="H90" i="5" s="1"/>
  <c r="F91" i="5"/>
  <c r="H91" i="5" s="1"/>
  <c r="F92" i="5"/>
  <c r="H92" i="5" s="1"/>
  <c r="H35" i="5"/>
  <c r="H33" i="5"/>
  <c r="I33" i="5" s="1"/>
  <c r="K147" i="6"/>
  <c r="K148" i="6"/>
  <c r="I145" i="6"/>
  <c r="K145" i="6"/>
  <c r="I143" i="6"/>
  <c r="K143" i="6"/>
  <c r="I141" i="6"/>
  <c r="K141" i="6"/>
  <c r="I139" i="6"/>
  <c r="K139" i="6"/>
  <c r="K137" i="6"/>
  <c r="K136" i="6"/>
  <c r="K135" i="6"/>
  <c r="K134" i="6"/>
  <c r="K133" i="6"/>
  <c r="K132" i="6"/>
  <c r="K131" i="6"/>
  <c r="K130" i="6"/>
  <c r="K129" i="6"/>
  <c r="I128" i="6"/>
  <c r="K128" i="6"/>
  <c r="I127" i="6"/>
  <c r="K127" i="6"/>
  <c r="I126" i="6"/>
  <c r="K126" i="6"/>
  <c r="I125" i="6"/>
  <c r="K125" i="6"/>
  <c r="I124" i="6"/>
  <c r="K124" i="6"/>
  <c r="I123" i="6"/>
  <c r="K123" i="6"/>
  <c r="I122" i="6"/>
  <c r="K122" i="6"/>
  <c r="I121" i="6"/>
  <c r="K121" i="6"/>
  <c r="I120" i="6"/>
  <c r="K120" i="6"/>
  <c r="I119" i="6"/>
  <c r="K119" i="6"/>
  <c r="I117" i="6"/>
  <c r="I115" i="6"/>
  <c r="I113" i="6"/>
  <c r="I111" i="6"/>
  <c r="I109" i="6"/>
  <c r="I107" i="6"/>
  <c r="I105" i="6"/>
  <c r="I103" i="6"/>
  <c r="I101" i="6"/>
  <c r="I99" i="6"/>
  <c r="I97" i="6"/>
  <c r="I95" i="6"/>
  <c r="I93" i="6"/>
  <c r="I91" i="6"/>
  <c r="I89" i="6"/>
  <c r="I87" i="6"/>
  <c r="I85" i="6"/>
  <c r="I83" i="6"/>
  <c r="I81" i="6"/>
  <c r="I79" i="6"/>
  <c r="I77" i="6"/>
  <c r="I75" i="6"/>
  <c r="I73" i="6"/>
  <c r="I71" i="6"/>
  <c r="I69" i="6"/>
  <c r="I67" i="6"/>
  <c r="I65" i="6"/>
  <c r="I63" i="6"/>
  <c r="I61" i="6"/>
  <c r="I59" i="6"/>
  <c r="I57" i="6"/>
  <c r="K146" i="6"/>
  <c r="K142" i="6"/>
  <c r="K138" i="6"/>
  <c r="I136" i="6"/>
  <c r="I134" i="6"/>
  <c r="I132" i="6"/>
  <c r="I130" i="6"/>
  <c r="I118" i="6"/>
  <c r="I116" i="6"/>
  <c r="I114" i="6"/>
  <c r="I112" i="6"/>
  <c r="I110" i="6"/>
  <c r="I108" i="6"/>
  <c r="I106" i="6"/>
  <c r="I104" i="6"/>
  <c r="I102" i="6"/>
  <c r="I100" i="6"/>
  <c r="I98" i="6"/>
  <c r="I96" i="6"/>
  <c r="I94" i="6"/>
  <c r="I92" i="6"/>
  <c r="I90" i="6"/>
  <c r="I88" i="6"/>
  <c r="I86" i="6"/>
  <c r="I84" i="6"/>
  <c r="I82" i="6"/>
  <c r="I80" i="6"/>
  <c r="I78" i="6"/>
  <c r="I76" i="6"/>
  <c r="I74" i="6"/>
  <c r="I72" i="6"/>
  <c r="I70" i="6"/>
  <c r="I68" i="6"/>
  <c r="I66" i="6"/>
  <c r="I64" i="6"/>
  <c r="I62" i="6"/>
  <c r="I60" i="6"/>
  <c r="I58" i="6"/>
  <c r="I56" i="6"/>
  <c r="I54" i="6"/>
  <c r="I52" i="6"/>
  <c r="K51" i="6"/>
  <c r="I51" i="6"/>
  <c r="K50" i="6"/>
  <c r="I50" i="6"/>
  <c r="D49" i="6"/>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38" i="6" s="1"/>
  <c r="D139" i="6" s="1"/>
  <c r="D140" i="6" s="1"/>
  <c r="D141" i="6" s="1"/>
  <c r="D142" i="6" s="1"/>
  <c r="D143" i="6" s="1"/>
  <c r="D144" i="6" s="1"/>
  <c r="D145" i="6" s="1"/>
  <c r="D146" i="6" s="1"/>
  <c r="D147" i="6" s="1"/>
  <c r="D148" i="6" s="1"/>
  <c r="K49" i="6"/>
  <c r="I49" i="6"/>
  <c r="K144" i="6"/>
  <c r="K140" i="6"/>
  <c r="I137" i="6"/>
  <c r="I135" i="6"/>
  <c r="I133" i="6"/>
  <c r="I131" i="6"/>
  <c r="I129" i="6"/>
  <c r="F49" i="6"/>
  <c r="F50" i="6" s="1"/>
  <c r="F51" i="6" s="1"/>
  <c r="J49" i="6"/>
  <c r="K48" i="6"/>
  <c r="I55" i="6"/>
  <c r="I53" i="6"/>
  <c r="I147" i="6"/>
  <c r="J147" i="6"/>
  <c r="E118" i="6"/>
  <c r="J118" i="6" s="1"/>
  <c r="E117" i="6"/>
  <c r="J117" i="6" s="1"/>
  <c r="E116" i="6"/>
  <c r="J116" i="6" s="1"/>
  <c r="E115" i="6"/>
  <c r="J115" i="6" s="1"/>
  <c r="E114" i="6"/>
  <c r="J114" i="6" s="1"/>
  <c r="E113" i="6"/>
  <c r="J113" i="6" s="1"/>
  <c r="E112" i="6"/>
  <c r="J112" i="6" s="1"/>
  <c r="E111" i="6"/>
  <c r="J111" i="6" s="1"/>
  <c r="E110" i="6"/>
  <c r="J110" i="6" s="1"/>
  <c r="E109" i="6"/>
  <c r="J109" i="6" s="1"/>
  <c r="E108" i="6"/>
  <c r="J108" i="6" s="1"/>
  <c r="E107" i="6"/>
  <c r="J107" i="6" s="1"/>
  <c r="E106" i="6"/>
  <c r="J106" i="6" s="1"/>
  <c r="E105" i="6"/>
  <c r="J105" i="6" s="1"/>
  <c r="E104" i="6"/>
  <c r="J104" i="6" s="1"/>
  <c r="E103" i="6"/>
  <c r="J103" i="6" s="1"/>
  <c r="E102" i="6"/>
  <c r="J102" i="6" s="1"/>
  <c r="E101" i="6"/>
  <c r="J101" i="6" s="1"/>
  <c r="E100" i="6"/>
  <c r="J100" i="6" s="1"/>
  <c r="E99" i="6"/>
  <c r="J99" i="6" s="1"/>
  <c r="E98" i="6"/>
  <c r="J98" i="6" s="1"/>
  <c r="E97" i="6"/>
  <c r="J97" i="6" s="1"/>
  <c r="E96" i="6"/>
  <c r="J96" i="6" s="1"/>
  <c r="E95" i="6"/>
  <c r="J95" i="6" s="1"/>
  <c r="E94" i="6"/>
  <c r="J94" i="6" s="1"/>
  <c r="E93" i="6"/>
  <c r="J93" i="6" s="1"/>
  <c r="E92" i="6"/>
  <c r="J92" i="6" s="1"/>
  <c r="E91" i="6"/>
  <c r="J91" i="6" s="1"/>
  <c r="E90" i="6"/>
  <c r="J90" i="6" s="1"/>
  <c r="E89" i="6"/>
  <c r="J89" i="6" s="1"/>
  <c r="E88" i="6"/>
  <c r="J88" i="6" s="1"/>
  <c r="E87" i="6"/>
  <c r="J87" i="6" s="1"/>
  <c r="E86" i="6"/>
  <c r="J86" i="6" s="1"/>
  <c r="E85" i="6"/>
  <c r="J85" i="6" s="1"/>
  <c r="E84" i="6"/>
  <c r="J84" i="6" s="1"/>
  <c r="E83" i="6"/>
  <c r="J83" i="6" s="1"/>
  <c r="E82" i="6"/>
  <c r="J82" i="6" s="1"/>
  <c r="E81" i="6"/>
  <c r="J81" i="6" s="1"/>
  <c r="E80" i="6"/>
  <c r="J80" i="6" s="1"/>
  <c r="E79" i="6"/>
  <c r="J79" i="6" s="1"/>
  <c r="E78" i="6"/>
  <c r="J78" i="6" s="1"/>
  <c r="E77" i="6"/>
  <c r="J77" i="6" s="1"/>
  <c r="E76" i="6"/>
  <c r="J76" i="6" s="1"/>
  <c r="E75" i="6"/>
  <c r="J75" i="6" s="1"/>
  <c r="E74" i="6"/>
  <c r="J74" i="6" s="1"/>
  <c r="E73" i="6"/>
  <c r="J73" i="6" s="1"/>
  <c r="E72" i="6"/>
  <c r="J72" i="6" s="1"/>
  <c r="E71" i="6"/>
  <c r="J71" i="6" s="1"/>
  <c r="E70" i="6"/>
  <c r="J70" i="6" s="1"/>
  <c r="E69" i="6"/>
  <c r="J69" i="6" s="1"/>
  <c r="E68" i="6"/>
  <c r="J68" i="6" s="1"/>
  <c r="E67" i="6"/>
  <c r="J67" i="6" s="1"/>
  <c r="E66" i="6"/>
  <c r="J66" i="6" s="1"/>
  <c r="E65" i="6"/>
  <c r="J65" i="6" s="1"/>
  <c r="E64" i="6"/>
  <c r="J64" i="6" s="1"/>
  <c r="E63" i="6"/>
  <c r="J63" i="6" s="1"/>
  <c r="E62" i="6"/>
  <c r="J62" i="6" s="1"/>
  <c r="E61" i="6"/>
  <c r="J61" i="6" s="1"/>
  <c r="E60" i="6"/>
  <c r="J60" i="6" s="1"/>
  <c r="E59" i="6"/>
  <c r="J59" i="6" s="1"/>
  <c r="E58" i="6"/>
  <c r="J58" i="6" s="1"/>
  <c r="E57" i="6"/>
  <c r="J57" i="6" s="1"/>
  <c r="D54" i="4"/>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D116" i="4" s="1"/>
  <c r="D117" i="4" s="1"/>
  <c r="D118" i="4" s="1"/>
  <c r="D119" i="4" s="1"/>
  <c r="D120" i="4" s="1"/>
  <c r="D121" i="4" s="1"/>
  <c r="D122" i="4" s="1"/>
  <c r="D123" i="4" s="1"/>
  <c r="D124" i="4" s="1"/>
  <c r="D125" i="4" s="1"/>
  <c r="D126" i="4" s="1"/>
  <c r="D127" i="4" s="1"/>
  <c r="D128" i="4" s="1"/>
  <c r="D129" i="4" s="1"/>
  <c r="D130" i="4" s="1"/>
  <c r="D131" i="4" s="1"/>
  <c r="D132" i="4" s="1"/>
  <c r="D133" i="4" s="1"/>
  <c r="D134" i="4" s="1"/>
  <c r="D135" i="4" s="1"/>
  <c r="D136" i="4" s="1"/>
  <c r="D137" i="4" s="1"/>
  <c r="F34" i="5"/>
  <c r="H34" i="5" s="1"/>
  <c r="I34" i="5" s="1"/>
  <c r="F36" i="5"/>
  <c r="H36" i="5" s="1"/>
  <c r="F37" i="5"/>
  <c r="H37" i="5" s="1"/>
  <c r="F38" i="5"/>
  <c r="H38" i="5" s="1"/>
  <c r="F39" i="5"/>
  <c r="H39" i="5" s="1"/>
  <c r="F40" i="5"/>
  <c r="H40" i="5" s="1"/>
  <c r="F41" i="5"/>
  <c r="H41" i="5" s="1"/>
  <c r="F42" i="5"/>
  <c r="H42" i="5" s="1"/>
  <c r="F43" i="5"/>
  <c r="H43" i="5" s="1"/>
  <c r="F44" i="5"/>
  <c r="H44" i="5" s="1"/>
  <c r="F45" i="5"/>
  <c r="H45" i="5" s="1"/>
  <c r="F46" i="5"/>
  <c r="H46" i="5" s="1"/>
  <c r="F47" i="5"/>
  <c r="H47" i="5" s="1"/>
  <c r="F48" i="5"/>
  <c r="H48" i="5" s="1"/>
  <c r="F49" i="5"/>
  <c r="H49" i="5" s="1"/>
  <c r="F50" i="5"/>
  <c r="H50" i="5" s="1"/>
  <c r="F51" i="5"/>
  <c r="H51" i="5" s="1"/>
  <c r="F52" i="5"/>
  <c r="H52" i="5" s="1"/>
  <c r="F53" i="5"/>
  <c r="H53" i="5" s="1"/>
  <c r="F54" i="5"/>
  <c r="H54" i="5" s="1"/>
  <c r="F55" i="5"/>
  <c r="H55" i="5" s="1"/>
  <c r="F56" i="5"/>
  <c r="H56" i="5" s="1"/>
  <c r="F57" i="5"/>
  <c r="H57" i="5" s="1"/>
  <c r="F58" i="5"/>
  <c r="H58" i="5" s="1"/>
  <c r="F59" i="5"/>
  <c r="H59" i="5" s="1"/>
  <c r="F60" i="5"/>
  <c r="H60" i="5" s="1"/>
  <c r="H61" i="5"/>
  <c r="F62" i="5"/>
  <c r="H62" i="5" s="1"/>
  <c r="E56" i="6"/>
  <c r="J56" i="6" s="1"/>
  <c r="E55" i="6"/>
  <c r="J55" i="6" s="1"/>
  <c r="E54" i="6"/>
  <c r="J54" i="6" s="1"/>
  <c r="E53" i="6"/>
  <c r="J53" i="6" s="1"/>
  <c r="E52" i="6"/>
  <c r="K52" i="6" s="1"/>
  <c r="D63" i="5" l="1"/>
  <c r="D64" i="5" s="1"/>
  <c r="D65" i="5" s="1"/>
  <c r="D66" i="5" s="1"/>
  <c r="D67" i="5" s="1"/>
  <c r="D68" i="5" s="1"/>
  <c r="D69" i="5" s="1"/>
  <c r="D70" i="5" s="1"/>
  <c r="D71" i="5" s="1"/>
  <c r="D72" i="5" s="1"/>
  <c r="D73" i="5" s="1"/>
  <c r="D74" i="5" s="1"/>
  <c r="D75" i="5" s="1"/>
  <c r="D76" i="5" s="1"/>
  <c r="D77" i="5" s="1"/>
  <c r="D78" i="5" s="1"/>
  <c r="D79" i="5" s="1"/>
  <c r="D80" i="5" s="1"/>
  <c r="D81" i="5" s="1"/>
  <c r="D82" i="5" s="1"/>
  <c r="D83" i="5" s="1"/>
  <c r="D84" i="5" s="1"/>
  <c r="D85" i="5" s="1"/>
  <c r="D86" i="5" s="1"/>
  <c r="D87" i="5" s="1"/>
  <c r="D88" i="5" s="1"/>
  <c r="D89" i="5" s="1"/>
  <c r="D90" i="5" s="1"/>
  <c r="D91" i="5" s="1"/>
  <c r="D92" i="5" s="1"/>
  <c r="D93" i="5" s="1"/>
  <c r="D94" i="5" s="1"/>
  <c r="D95" i="5" s="1"/>
  <c r="D96" i="5" s="1"/>
  <c r="D97" i="5" s="1"/>
  <c r="D98" i="5" s="1"/>
  <c r="D99" i="5" s="1"/>
  <c r="D100" i="5" s="1"/>
  <c r="D101" i="5" s="1"/>
  <c r="D102" i="5" s="1"/>
  <c r="D103" i="5" s="1"/>
  <c r="D104" i="5" s="1"/>
  <c r="D105" i="5" s="1"/>
  <c r="D106" i="5" s="1"/>
  <c r="D107" i="5" s="1"/>
  <c r="D108" i="5" s="1"/>
  <c r="D109" i="5" s="1"/>
  <c r="D110" i="5" s="1"/>
  <c r="D111" i="5" s="1"/>
  <c r="D112" i="5" s="1"/>
  <c r="D113" i="5" s="1"/>
  <c r="D114" i="5" s="1"/>
  <c r="D115" i="5" s="1"/>
  <c r="D116" i="5" s="1"/>
  <c r="D117" i="5" s="1"/>
  <c r="D118" i="5" s="1"/>
  <c r="D119" i="5" s="1"/>
  <c r="D120" i="5" s="1"/>
  <c r="D121" i="5" s="1"/>
  <c r="D122" i="5" s="1"/>
  <c r="D123" i="5" s="1"/>
  <c r="D124" i="5" s="1"/>
  <c r="D125" i="5" s="1"/>
  <c r="D126" i="5" s="1"/>
  <c r="D127" i="5" s="1"/>
  <c r="D128" i="5" s="1"/>
  <c r="D129" i="5" s="1"/>
  <c r="D130" i="5" s="1"/>
  <c r="D131" i="5" s="1"/>
  <c r="D132" i="5" s="1"/>
  <c r="D133" i="5" s="1"/>
  <c r="D134" i="5" s="1"/>
  <c r="D135" i="5" s="1"/>
  <c r="D136" i="5" s="1"/>
  <c r="D137" i="5" s="1"/>
  <c r="D138" i="5" s="1"/>
  <c r="D139" i="5" s="1"/>
  <c r="D140" i="5" s="1"/>
  <c r="D141" i="5" s="1"/>
  <c r="D142" i="5" s="1"/>
  <c r="D143" i="5" s="1"/>
  <c r="D144" i="5" s="1"/>
  <c r="D145" i="5" s="1"/>
  <c r="D146" i="5" s="1"/>
  <c r="D147" i="5" s="1"/>
  <c r="D148" i="5" s="1"/>
  <c r="D149" i="5" s="1"/>
  <c r="D150" i="5" s="1"/>
  <c r="D151" i="5" s="1"/>
  <c r="D152" i="5" s="1"/>
  <c r="D153" i="5" s="1"/>
  <c r="D154" i="5" s="1"/>
  <c r="D155" i="5" s="1"/>
  <c r="D156" i="5" s="1"/>
  <c r="D157" i="5" s="1"/>
  <c r="D158" i="5" s="1"/>
  <c r="D159" i="5" s="1"/>
  <c r="D160" i="5" s="1"/>
  <c r="D161" i="5" s="1"/>
  <c r="D162" i="5" s="1"/>
  <c r="D163" i="5" s="1"/>
  <c r="D164" i="5" s="1"/>
  <c r="D165" i="5" s="1"/>
  <c r="D166" i="5" s="1"/>
  <c r="D167" i="5" s="1"/>
  <c r="D168" i="5" s="1"/>
  <c r="D169" i="5" s="1"/>
  <c r="D170" i="5" s="1"/>
  <c r="D171" i="5" s="1"/>
  <c r="D172" i="5" s="1"/>
  <c r="D173" i="5" s="1"/>
  <c r="D174" i="5" s="1"/>
  <c r="D175" i="5" s="1"/>
  <c r="D176" i="5" s="1"/>
  <c r="D177" i="5" s="1"/>
  <c r="D178" i="5" s="1"/>
  <c r="D179" i="5" s="1"/>
  <c r="D180" i="5" s="1"/>
  <c r="D181" i="5" s="1"/>
  <c r="D182" i="5" s="1"/>
  <c r="D183" i="5" s="1"/>
  <c r="D184" i="5" s="1"/>
  <c r="D185" i="5" s="1"/>
  <c r="D186" i="5" s="1"/>
  <c r="D187" i="5" s="1"/>
  <c r="D188" i="5" s="1"/>
  <c r="D189" i="5" s="1"/>
  <c r="D190" i="5" s="1"/>
  <c r="D191" i="5" s="1"/>
  <c r="D192" i="5" s="1"/>
  <c r="D193" i="5" s="1"/>
  <c r="D194" i="5" s="1"/>
  <c r="D195" i="5" s="1"/>
  <c r="D196" i="5" s="1"/>
  <c r="D197" i="5" s="1"/>
  <c r="D198" i="5" s="1"/>
  <c r="D199" i="5" s="1"/>
  <c r="D200" i="5" s="1"/>
  <c r="D201" i="5" s="1"/>
  <c r="D202" i="5" s="1"/>
  <c r="D203" i="5" s="1"/>
  <c r="D204" i="5" s="1"/>
  <c r="D205" i="5" s="1"/>
  <c r="D206" i="5" s="1"/>
  <c r="D207" i="5" s="1"/>
  <c r="D208" i="5" s="1"/>
  <c r="D209" i="5" s="1"/>
  <c r="D210" i="5" s="1"/>
  <c r="D211" i="5" s="1"/>
  <c r="D212" i="5" s="1"/>
  <c r="D213" i="5" s="1"/>
  <c r="D214" i="5" s="1"/>
  <c r="D215" i="5" s="1"/>
  <c r="D216" i="5" s="1"/>
  <c r="D217" i="5" s="1"/>
  <c r="D218" i="5" s="1"/>
  <c r="D219" i="5" s="1"/>
  <c r="D220" i="5" s="1"/>
  <c r="D221" i="5" s="1"/>
  <c r="D222" i="5" s="1"/>
  <c r="D223" i="5" s="1"/>
  <c r="D224" i="5" s="1"/>
  <c r="D225" i="5" s="1"/>
  <c r="D226" i="5" s="1"/>
  <c r="D227" i="5" s="1"/>
  <c r="D228" i="5" s="1"/>
  <c r="D229" i="5" s="1"/>
  <c r="D230" i="5" s="1"/>
  <c r="D231" i="5" s="1"/>
  <c r="D232" i="5" s="1"/>
  <c r="D233" i="5" s="1"/>
  <c r="D234" i="5" s="1"/>
  <c r="D235" i="5" s="1"/>
  <c r="D236" i="5" s="1"/>
  <c r="D237" i="5" s="1"/>
  <c r="D238" i="5" s="1"/>
  <c r="D239" i="5" s="1"/>
  <c r="D240" i="5" s="1"/>
  <c r="D241" i="5" s="1"/>
  <c r="D242" i="5" s="1"/>
  <c r="D243" i="5" s="1"/>
  <c r="D244" i="5" s="1"/>
  <c r="D245" i="5" s="1"/>
  <c r="D246" i="5" s="1"/>
  <c r="D247" i="5" s="1"/>
  <c r="D248" i="5" s="1"/>
  <c r="D249" i="5" s="1"/>
  <c r="D250" i="5" s="1"/>
  <c r="D251" i="5" s="1"/>
  <c r="D252" i="5" s="1"/>
  <c r="D253" i="5" s="1"/>
  <c r="D254" i="5" s="1"/>
  <c r="D255" i="5" s="1"/>
  <c r="D256" i="5" s="1"/>
  <c r="D257" i="5" s="1"/>
  <c r="D258" i="5" s="1"/>
  <c r="D259" i="5" s="1"/>
  <c r="D260" i="5" s="1"/>
  <c r="D261" i="5" s="1"/>
  <c r="D262" i="5" s="1"/>
  <c r="D263" i="5" s="1"/>
  <c r="D264" i="5" s="1"/>
  <c r="D265" i="5" s="1"/>
  <c r="D266" i="5" s="1"/>
  <c r="D267" i="5" s="1"/>
  <c r="D268" i="5" s="1"/>
  <c r="D269" i="5" s="1"/>
  <c r="D270" i="5" s="1"/>
  <c r="D271" i="5" s="1"/>
  <c r="D272" i="5" s="1"/>
  <c r="D273" i="5" s="1"/>
  <c r="D274" i="5" s="1"/>
  <c r="D275" i="5" s="1"/>
  <c r="D276" i="5" s="1"/>
  <c r="D277" i="5" s="1"/>
  <c r="D278" i="5" s="1"/>
  <c r="D279" i="5" s="1"/>
  <c r="D280" i="5" s="1"/>
  <c r="D281" i="5" s="1"/>
  <c r="I35" i="5"/>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I94" i="5" s="1"/>
  <c r="I95" i="5" s="1"/>
  <c r="I96" i="5" s="1"/>
  <c r="I97" i="5" s="1"/>
  <c r="I98" i="5" s="1"/>
  <c r="I99" i="5" s="1"/>
  <c r="I100" i="5" s="1"/>
  <c r="I101" i="5" s="1"/>
  <c r="I102" i="5" s="1"/>
  <c r="I103" i="5" s="1"/>
  <c r="I104" i="5" s="1"/>
  <c r="I105" i="5" s="1"/>
  <c r="I106" i="5" s="1"/>
  <c r="I107" i="5" s="1"/>
  <c r="I108" i="5" s="1"/>
  <c r="I109" i="5" s="1"/>
  <c r="I110" i="5" s="1"/>
  <c r="I111" i="5" s="1"/>
  <c r="I112" i="5" s="1"/>
  <c r="I113" i="5" s="1"/>
  <c r="I114" i="5" s="1"/>
  <c r="I115" i="5" s="1"/>
  <c r="I116" i="5" s="1"/>
  <c r="I117" i="5" s="1"/>
  <c r="I118" i="5" s="1"/>
  <c r="I119" i="5" s="1"/>
  <c r="I120" i="5" s="1"/>
  <c r="I121" i="5" s="1"/>
  <c r="I122" i="5" s="1"/>
  <c r="I123" i="5" s="1"/>
  <c r="I124" i="5" s="1"/>
  <c r="I125" i="5" s="1"/>
  <c r="I126" i="5" s="1"/>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156" i="5" s="1"/>
  <c r="I157" i="5" s="1"/>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86" i="5" s="1"/>
  <c r="I187" i="5" s="1"/>
  <c r="I188" i="5" s="1"/>
  <c r="I189" i="5" s="1"/>
  <c r="I190" i="5" s="1"/>
  <c r="I191" i="5" s="1"/>
  <c r="I192" i="5" s="1"/>
  <c r="I193" i="5" s="1"/>
  <c r="I194" i="5" s="1"/>
  <c r="I195" i="5" s="1"/>
  <c r="I196" i="5" s="1"/>
  <c r="I197" i="5" s="1"/>
  <c r="I198" i="5" s="1"/>
  <c r="I199" i="5" s="1"/>
  <c r="I200" i="5" s="1"/>
  <c r="I201" i="5" s="1"/>
  <c r="I202" i="5" s="1"/>
  <c r="I203" i="5" s="1"/>
  <c r="I204" i="5" s="1"/>
  <c r="I205" i="5" s="1"/>
  <c r="I206" i="5" s="1"/>
  <c r="I207" i="5" s="1"/>
  <c r="I208" i="5" s="1"/>
  <c r="I209" i="5" s="1"/>
  <c r="I210" i="5" s="1"/>
  <c r="I211" i="5" s="1"/>
  <c r="I212" i="5" s="1"/>
  <c r="I213" i="5" s="1"/>
  <c r="I214" i="5" s="1"/>
  <c r="I215" i="5" s="1"/>
  <c r="I216" i="5" s="1"/>
  <c r="I217" i="5" s="1"/>
  <c r="I218" i="5" s="1"/>
  <c r="I219" i="5" s="1"/>
  <c r="I220" i="5" s="1"/>
  <c r="I221" i="5" s="1"/>
  <c r="I222" i="5" s="1"/>
  <c r="I223" i="5" s="1"/>
  <c r="I224" i="5" s="1"/>
  <c r="I225" i="5" s="1"/>
  <c r="I226" i="5" s="1"/>
  <c r="I227" i="5" s="1"/>
  <c r="I228" i="5" s="1"/>
  <c r="I229" i="5" s="1"/>
  <c r="I230" i="5" s="1"/>
  <c r="I231" i="5" s="1"/>
  <c r="I232" i="5" s="1"/>
  <c r="I233" i="5" s="1"/>
  <c r="I234" i="5" s="1"/>
  <c r="I235" i="5" s="1"/>
  <c r="I236" i="5" s="1"/>
  <c r="I237" i="5" s="1"/>
  <c r="I238" i="5" s="1"/>
  <c r="I239" i="5" s="1"/>
  <c r="I240" i="5" s="1"/>
  <c r="I241" i="5" s="1"/>
  <c r="I242" i="5" s="1"/>
  <c r="I243" i="5" s="1"/>
  <c r="I244" i="5" s="1"/>
  <c r="I245" i="5" s="1"/>
  <c r="I246" i="5" s="1"/>
  <c r="I247" i="5" s="1"/>
  <c r="I248" i="5" s="1"/>
  <c r="I249" i="5" s="1"/>
  <c r="I250" i="5" s="1"/>
  <c r="I251" i="5" s="1"/>
  <c r="I252" i="5" s="1"/>
  <c r="I253" i="5" s="1"/>
  <c r="I254" i="5" s="1"/>
  <c r="I255" i="5" s="1"/>
  <c r="I256" i="5" s="1"/>
  <c r="I257" i="5" s="1"/>
  <c r="I258" i="5" s="1"/>
  <c r="I259" i="5" s="1"/>
  <c r="I260" i="5" s="1"/>
  <c r="I261" i="5" s="1"/>
  <c r="I262" i="5" s="1"/>
  <c r="I263" i="5" s="1"/>
  <c r="I264" i="5" s="1"/>
  <c r="I265" i="5" s="1"/>
  <c r="I266" i="5" s="1"/>
  <c r="I267" i="5" s="1"/>
  <c r="I268" i="5" s="1"/>
  <c r="I269" i="5" s="1"/>
  <c r="I270" i="5" s="1"/>
  <c r="I271" i="5" s="1"/>
  <c r="I272" i="5" s="1"/>
  <c r="I273" i="5" s="1"/>
  <c r="I274" i="5" s="1"/>
  <c r="I275" i="5" s="1"/>
  <c r="I276" i="5" s="1"/>
  <c r="I277" i="5" s="1"/>
  <c r="I278" i="5" s="1"/>
  <c r="I279" i="5" s="1"/>
  <c r="I280" i="5" s="1"/>
  <c r="I281" i="5" s="1"/>
  <c r="K53" i="6"/>
  <c r="K54" i="6"/>
  <c r="K56" i="6"/>
  <c r="K58" i="6"/>
  <c r="K60" i="6"/>
  <c r="K62" i="6"/>
  <c r="K64" i="6"/>
  <c r="K66" i="6"/>
  <c r="K68" i="6"/>
  <c r="K70" i="6"/>
  <c r="K72" i="6"/>
  <c r="K74" i="6"/>
  <c r="K76" i="6"/>
  <c r="K78" i="6"/>
  <c r="K80" i="6"/>
  <c r="K55" i="6"/>
  <c r="K57" i="6"/>
  <c r="K59" i="6"/>
  <c r="K61" i="6"/>
  <c r="K63" i="6"/>
  <c r="K65" i="6"/>
  <c r="K67" i="6"/>
  <c r="K69" i="6"/>
  <c r="K71" i="6"/>
  <c r="K73" i="6"/>
  <c r="K75" i="6"/>
  <c r="K77" i="6"/>
  <c r="K79" i="6"/>
  <c r="K81" i="6"/>
  <c r="F52" i="6"/>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F116" i="6" s="1"/>
  <c r="F117" i="6" s="1"/>
  <c r="F118" i="6" s="1"/>
  <c r="F119" i="6" s="1"/>
  <c r="F120" i="6" s="1"/>
  <c r="F121" i="6" s="1"/>
  <c r="F122" i="6" s="1"/>
  <c r="F123" i="6" s="1"/>
  <c r="F124" i="6" s="1"/>
  <c r="F125" i="6" s="1"/>
  <c r="F126" i="6" s="1"/>
  <c r="F127" i="6" s="1"/>
  <c r="F128" i="6" s="1"/>
  <c r="F129" i="6" s="1"/>
  <c r="F130" i="6" s="1"/>
  <c r="F131" i="6" s="1"/>
  <c r="F132" i="6" s="1"/>
  <c r="F133" i="6" s="1"/>
  <c r="F134" i="6" s="1"/>
  <c r="F135" i="6" s="1"/>
  <c r="F136" i="6" s="1"/>
  <c r="F137" i="6" s="1"/>
  <c r="F138" i="6" s="1"/>
  <c r="F139" i="6" s="1"/>
  <c r="F140" i="6" s="1"/>
  <c r="F141" i="6" s="1"/>
  <c r="F142" i="6" s="1"/>
  <c r="F143" i="6" s="1"/>
  <c r="F144" i="6" s="1"/>
  <c r="F145" i="6" s="1"/>
  <c r="F146" i="6" s="1"/>
  <c r="F147" i="6" s="1"/>
  <c r="F148" i="6" s="1"/>
  <c r="J52" i="6"/>
  <c r="K82" i="6"/>
  <c r="K84" i="6"/>
  <c r="K86" i="6"/>
  <c r="K88" i="6"/>
  <c r="K90" i="6"/>
  <c r="K92" i="6"/>
  <c r="K94" i="6"/>
  <c r="K96" i="6"/>
  <c r="K98" i="6"/>
  <c r="K100" i="6"/>
  <c r="K102" i="6"/>
  <c r="K104" i="6"/>
  <c r="K106" i="6"/>
  <c r="K108" i="6"/>
  <c r="K110" i="6"/>
  <c r="K112" i="6"/>
  <c r="K114" i="6"/>
  <c r="K116" i="6"/>
  <c r="K118" i="6"/>
  <c r="K83" i="6"/>
  <c r="K85" i="6"/>
  <c r="K87" i="6"/>
  <c r="K89" i="6"/>
  <c r="K91" i="6"/>
  <c r="K93" i="6"/>
  <c r="K95" i="6"/>
  <c r="K97" i="6"/>
  <c r="K99" i="6"/>
  <c r="K101" i="6"/>
  <c r="K103" i="6"/>
  <c r="K105" i="6"/>
  <c r="K107" i="6"/>
  <c r="K109" i="6"/>
  <c r="K111" i="6"/>
  <c r="K113" i="6"/>
  <c r="K115" i="6"/>
  <c r="K117" i="6"/>
</calcChain>
</file>

<file path=xl/sharedStrings.xml><?xml version="1.0" encoding="utf-8"?>
<sst xmlns="http://schemas.openxmlformats.org/spreadsheetml/2006/main" count="586" uniqueCount="382">
  <si>
    <t>main length</t>
  </si>
  <si>
    <t>total length km</t>
  </si>
  <si>
    <t>Cost cumulative</t>
  </si>
  <si>
    <t>Cost pa</t>
  </si>
  <si>
    <t>Expansion Year</t>
  </si>
  <si>
    <t>(adjust trib distance)</t>
  </si>
  <si>
    <t>km</t>
  </si>
  <si>
    <t>Main river length</t>
  </si>
  <si>
    <t>£/km</t>
  </si>
  <si>
    <t>cost per km</t>
  </si>
  <si>
    <t>£</t>
  </si>
  <si>
    <t>cost to restock catch.</t>
  </si>
  <si>
    <t>reduction factor</t>
  </si>
  <si>
    <t>Signal loss factor</t>
  </si>
  <si>
    <t>100% restock cost</t>
  </si>
  <si>
    <t>Total river lengths</t>
  </si>
  <si>
    <t>(Calibration)</t>
  </si>
  <si>
    <t>avg trib distance</t>
  </si>
  <si>
    <t>km/y</t>
  </si>
  <si>
    <t>upstream rate</t>
  </si>
  <si>
    <t>downstream rate</t>
  </si>
  <si>
    <t>Tay example</t>
  </si>
  <si>
    <t>spread sheet variables</t>
  </si>
  <si>
    <t>Downstream</t>
  </si>
  <si>
    <t>Upstream</t>
  </si>
  <si>
    <t>worst</t>
  </si>
  <si>
    <t>best</t>
  </si>
  <si>
    <t>km/year expansion</t>
  </si>
  <si>
    <t>t=uL/2(d+u)(T/L-1)</t>
  </si>
  <si>
    <t>substituting y</t>
  </si>
  <si>
    <t>t=uy/2(T/y(d+u)-1)</t>
  </si>
  <si>
    <t>solving in terms of t</t>
  </si>
  <si>
    <t xml:space="preserve">T=y(d+u)(1+uy/2t)  or   T/y(d+u)=(1+uy/2t)   </t>
  </si>
  <si>
    <t>To derive trib spacing so that T is correct at L:</t>
  </si>
  <si>
    <t>so y=L/(d+u)</t>
  </si>
  <si>
    <t>y(d+u)</t>
  </si>
  <si>
    <t>total main river progress is</t>
  </si>
  <si>
    <t>Deriving trib distance calibration so that figure for total rivers lengths is reached when main length is full</t>
  </si>
  <si>
    <t>[(1-s)v/r](dy+uy)(1+uy/2t)</t>
  </si>
  <si>
    <t>Cost at year y :</t>
  </si>
  <si>
    <t>(dy+uy)(1+uy/2t)</t>
  </si>
  <si>
    <t>Substituting n&amp;m and adding u/s &amp; d/s</t>
  </si>
  <si>
    <t>or dy+uy[(n-1)/2]</t>
  </si>
  <si>
    <t>dy+uy[(n+1)/2]-uy</t>
  </si>
  <si>
    <t>Total downstream progress (main + tribs)</t>
  </si>
  <si>
    <t>uy[(n+1)/2]-uy</t>
  </si>
  <si>
    <t>progress along these is:</t>
  </si>
  <si>
    <t>(-1 to remove duplication of 1st trib)</t>
  </si>
  <si>
    <t>[(n+1)/2]-1</t>
  </si>
  <si>
    <t>Downstream formula:</t>
  </si>
  <si>
    <t>or uy(1.5+m/2)</t>
  </si>
  <si>
    <t>uy+uy(m+1)/2</t>
  </si>
  <si>
    <t>Total upstream progress (main + tribs)</t>
  </si>
  <si>
    <t>uy(n+1)/2</t>
  </si>
  <si>
    <t>T</t>
  </si>
  <si>
    <t>total length of tribs</t>
  </si>
  <si>
    <t>or (n+1)/2</t>
  </si>
  <si>
    <t>[n(n+1)/2]/n</t>
  </si>
  <si>
    <t>This can also be expressed as:</t>
  </si>
  <si>
    <t>L</t>
  </si>
  <si>
    <t>length of main river</t>
  </si>
  <si>
    <t>s</t>
  </si>
  <si>
    <t>signal loss</t>
  </si>
  <si>
    <t>[n+(n-1)+(n-2)+(n-3)......0]/n</t>
  </si>
  <si>
    <t>r</t>
  </si>
  <si>
    <t>total rivers lengths</t>
  </si>
  <si>
    <t>v</t>
  </si>
  <si>
    <t>100% restock</t>
  </si>
  <si>
    <t>progress along tribs:</t>
  </si>
  <si>
    <t>t</t>
  </si>
  <si>
    <t>uy/t</t>
  </si>
  <si>
    <t>number of tribs upstream,m, is</t>
  </si>
  <si>
    <t>l</t>
  </si>
  <si>
    <t xml:space="preserve">length of invaded river </t>
  </si>
  <si>
    <t>dy/t</t>
  </si>
  <si>
    <t>number of tribs downstream, n, is</t>
  </si>
  <si>
    <t>y</t>
  </si>
  <si>
    <t>Years</t>
  </si>
  <si>
    <t>(all have upstream flow)</t>
  </si>
  <si>
    <t>uy</t>
  </si>
  <si>
    <t>progress along each trib is</t>
  </si>
  <si>
    <t>u km/year</t>
  </si>
  <si>
    <t>Upstream progress</t>
  </si>
  <si>
    <t>progress along main river upstream is</t>
  </si>
  <si>
    <t>d  km/year</t>
  </si>
  <si>
    <t>Downstream progress</t>
  </si>
  <si>
    <t>dy</t>
  </si>
  <si>
    <t>progress along main river downstream is</t>
  </si>
  <si>
    <t>Assume a main river with n tributaries along its length.</t>
  </si>
  <si>
    <t>Average Trib distance is automatically calibrated to make total rivers length correct when main rivers length is reached.</t>
  </si>
  <si>
    <t>This will appear operate as a worst case situation in terms of point introduction into the system unless downstream rate is modified.</t>
  </si>
  <si>
    <t>There is no limit to tributary length, the model limits when max required re-stock value is reached.</t>
  </si>
  <si>
    <t>The following derives from a simple river model of one main river with only primary tributaries at regular, definable distances.</t>
  </si>
  <si>
    <r>
      <rPr>
        <sz val="12"/>
        <color indexed="8"/>
        <rFont val="Calibri"/>
        <family val="2"/>
      </rPr>
      <t>It is assumed that any fish lost by crayfish predation will be replaced by re-stocking</t>
    </r>
    <r>
      <rPr>
        <sz val="14"/>
        <color indexed="8"/>
        <rFont val="Calibri"/>
        <family val="2"/>
      </rPr>
      <t>.</t>
    </r>
  </si>
  <si>
    <t>Model used in determining cost of crayfish spread in a river catchment. (Salmon only)</t>
  </si>
  <si>
    <t>cum cost</t>
  </si>
  <si>
    <t>trap and restock cost</t>
  </si>
  <si>
    <t>restock cost pa</t>
  </si>
  <si>
    <t>trapping cost pa</t>
  </si>
  <si>
    <t>Restock cost pa</t>
  </si>
  <si>
    <t>Year</t>
  </si>
  <si>
    <t>Cost to trap and re-stock</t>
  </si>
  <si>
    <t>Cost to re-stock only</t>
  </si>
  <si>
    <t>Trap cost  pa</t>
  </si>
  <si>
    <t>Total cost per trap day</t>
  </si>
  <si>
    <t xml:space="preserve"> trap deprec, bait</t>
  </si>
  <si>
    <t>(Tay)</t>
  </si>
  <si>
    <t xml:space="preserve">lab cost per trap </t>
  </si>
  <si>
    <t xml:space="preserve">trap days per year </t>
  </si>
  <si>
    <t>pa cost of 1 person + o/heads</t>
  </si>
  <si>
    <t>proportion of days trapped</t>
  </si>
  <si>
    <t>traps worked in 1 man-day</t>
  </si>
  <si>
    <t>Traps per km</t>
  </si>
  <si>
    <t xml:space="preserve"> (EA value)</t>
  </si>
  <si>
    <t>working days per year</t>
  </si>
  <si>
    <t>Variables</t>
  </si>
  <si>
    <t>The effectiveness of trapping to reduce re-stocking costs</t>
  </si>
  <si>
    <t>Total length km</t>
  </si>
  <si>
    <t>Trout</t>
  </si>
  <si>
    <t>Salmon</t>
  </si>
  <si>
    <t>Total river lengths, r</t>
  </si>
  <si>
    <t>trout per km, q</t>
  </si>
  <si>
    <t>km (calibrate)</t>
  </si>
  <si>
    <t>avg trib distance, t</t>
  </si>
  <si>
    <t>proportion of river, p</t>
  </si>
  <si>
    <t>Signal loss factor, s</t>
  </si>
  <si>
    <t>upstream rate, u</t>
  </si>
  <si>
    <t>4" trout cost, f</t>
  </si>
  <si>
    <t>100% restock cost, v</t>
  </si>
  <si>
    <t>downstream rate,d</t>
  </si>
  <si>
    <t>spread sheet variables (trout)</t>
  </si>
  <si>
    <t>spread sheet variables (salmon)</t>
  </si>
  <si>
    <t>spread sheet variables (river, spread)</t>
  </si>
  <si>
    <t>[fpq](dy+uy)(1+uy/2t)</t>
  </si>
  <si>
    <t>Trout cost at year y:</t>
  </si>
  <si>
    <t>Salmon cost at year y :</t>
  </si>
  <si>
    <t>q</t>
  </si>
  <si>
    <t>trout per km</t>
  </si>
  <si>
    <t>p</t>
  </si>
  <si>
    <t xml:space="preserve">proportion of river </t>
  </si>
  <si>
    <t>f</t>
  </si>
  <si>
    <t>4" trout cost</t>
  </si>
  <si>
    <t>Model used in determining cost of crayfish spread in a river catchment.</t>
  </si>
  <si>
    <t>Perimeter = 2x length. River volume 3600m x 0.2m x 4m avg. Streams 7750m x 0.1m x 1m.</t>
  </si>
  <si>
    <t>Diesel: 2in 20 l/d, 3in 30l/d, 4in 40l/d, (excavator inclusive of rental)</t>
  </si>
  <si>
    <t>Stream pumps (4x£160 + 6x£100)/7 = £177 pd. River pumps (2x£160 + 4x£160 + 6x£100)/7 = £222 pd.</t>
  </si>
  <si>
    <t>Pump costs: 2in + hoses £100 per week. 3in + hoses £160 pw. 4in £160 pw + £1360 pipe+couplers.</t>
  </si>
  <si>
    <t>Plant hire pumps whole period est. 2 no. 4 inch for river divert, 4 no. 3 in for general use, 6 no. 2 inch for minor streams</t>
  </si>
  <si>
    <t>Plant hire: excavator , whole period @ £250/day</t>
  </si>
  <si>
    <t>Water control  est. 3 men plus excavator with driver, set up one section per day</t>
  </si>
  <si>
    <t>sandbags 20kg filled polypropylene @ c.£1600/500.  Polythene sheeting 2m wide 450ug100m c. £70 or £35 per section. Misc buckets etc., £15/section</t>
  </si>
  <si>
    <t>Water control consumables, 1 dam u/s, double dam d/s, plus minidams on way and at seepages, sandbags est 250 no./  section main stream, 100/ section minor streams, 50m sheeting/section</t>
  </si>
  <si>
    <t>Gradient on main streams is shallow enough to do sections 200m long, but side streams steeper, sections only 100m, average 1 minor seepages/drains to deal with per 100m</t>
  </si>
  <si>
    <t>No additional provision required for access, use existing farm tracks etc., cost would be higher if need new provisions</t>
  </si>
  <si>
    <t>Site clearance consumables assume £1000 for stone etc. for one small site compound, 2 compounds for long site</t>
  </si>
  <si>
    <t>Site clearance assume may need strim and clear, c. 500m/day. Plus c. 2 man days to get other gear to site</t>
  </si>
  <si>
    <t>Hydrology survey require identification of every tributary and seepage, plus spot gauging and runoff calculations to plan pump capacity.  Assumes no groundwater issues here.</t>
  </si>
  <si>
    <t>Compensation cost here is just fish rescue, assumption is 3 person team clears 500 m per day by electrofishing, stock moved in same stream away from treatment (can omit this cost if kill the fish)</t>
  </si>
  <si>
    <t>Planning and permissions "consumables" is a small allowance for e.g. payment to farmers for repair to access routes, temporary site compound etc.  Could be higher? (Strictly this is compensation cost</t>
  </si>
  <si>
    <t>Increased work on permissions as more owners and occupiers and need agreement of all of them for treatment and access</t>
  </si>
  <si>
    <t>Scenario 2 stream treatments assumptions</t>
  </si>
  <si>
    <t>Might be able to reduce costs  if intercepted field drainage, diverted all flow, enclosed whole pond area with barrier fence and infilled all three ponds</t>
  </si>
  <si>
    <t>Est. c. 30 days total programme preparation on site, treatment, recovery</t>
  </si>
  <si>
    <t>Minimum 3 staff for treatment,  2 no. when setting pumps, then only checks of diversion etc., probably 0.5 days 1 person each</t>
  </si>
  <si>
    <t>Bioassays for treatments of ponds during/ after treatment, at dewatering, plus min 5 no. during later recovery period, but not daily</t>
  </si>
  <si>
    <t>Do 1 day test excavation of sample of margins for crayfish after treatment, excavator, plus 2-3 people</t>
  </si>
  <si>
    <t>Assume need small excavator and driver for divert, 2 day prep</t>
  </si>
  <si>
    <t>Pump and pipework hire  c. £100/day, fuel (consumables) £50/day</t>
  </si>
  <si>
    <t xml:space="preserve"> 1 no. 4 inch pump 5 days with intake hose plus 200m hose, plus 1  no. 2 inch pump to help during diversion of flow, also to deal with minor seepage if present</t>
  </si>
  <si>
    <t xml:space="preserve">No pumping required after dewater, but if have enough rainfall to overtop divert, then reinstate diversion afterwards if pond assay shows still residual toxicity. </t>
  </si>
  <si>
    <t xml:space="preserve">Further recovery period in largely drained ponds assume up to 15 days.  </t>
  </si>
  <si>
    <t xml:space="preserve">Recovery period assume leave 4 days after treatment, hose margins etc., then dewater to extensive grass fields with 4 in pump, est  4 days, leave any residual in bed of ponds. </t>
  </si>
  <si>
    <t xml:space="preserve">Can treat 3 ponds and seepage area u/s upper pond in one day.  </t>
  </si>
  <si>
    <t>Pump out Bison pond in advance so can use as emergency storage if heavy rainfall upstream.</t>
  </si>
  <si>
    <t>No leakage at dams - checked at sump d/s lower pond</t>
  </si>
  <si>
    <t xml:space="preserve">Can intercept flow upstream of Bison pond and route away from the ponds to be treated, no inflow from field drainage to upper pond.  </t>
  </si>
  <si>
    <t>Site clearance mow all of the emergent margins and remove from water</t>
  </si>
  <si>
    <t>Cannot use herbicide to remove excess vegetation in the upper and middle ponds now diquat and terbutyne  not allowed</t>
  </si>
  <si>
    <t>Mains ponds assumptions</t>
  </si>
  <si>
    <t>Or b) by stopping off inlet at river, intercepting drainage from the slopes and bulldozing whole pond area - would need to install barrier fencing to prevent any overland escapes.  Would still need to treat outlet ditch with biocide</t>
  </si>
  <si>
    <t>Could reduce costs at Castle pond if: a) dug intercept ditch at the back of leaking dam and built new lined or clay core dam - could then do treatment of pond as isolated unit, with much lower pump and staff costs</t>
  </si>
  <si>
    <t>Assume need bioassays for treatments pond and ditch, plus daily assays in recovery period and daily monitoring at river</t>
  </si>
  <si>
    <t>Assume need excavator and driver for 3 days prep and 2 days clear up @ £400/day including delivery</t>
  </si>
  <si>
    <t>Consumables fuel, lubricants @ £100/day</t>
  </si>
  <si>
    <t>Assume 7 no. pumps and hoses at average £60/day hire x 25 days</t>
  </si>
  <si>
    <t>Ditch:  5 no. intake hoses (one for clean use at river only), 2 no. 2in layflat x 120 m for divert, 2 no. 2" for recirculation, 2 no. 30 m for backup or dewater</t>
  </si>
  <si>
    <t>Ditch: 4 no. 2" pumps; 1 no. + 1 backup for divert, same for recirculation or flush, 1in sump pump and generator for double dam at d/s end ditch</t>
  </si>
  <si>
    <t>Min 3 no. 3" intake hoses,  40m rigid outlet for return flow to pond, 2x100m rigid or layflat for dewater and/or backup/emergency</t>
  </si>
  <si>
    <t>1  no. 3" pump for return flow to pond, 1  no. 3" pump for backup and  dewater to land, 1 no.3" emergency pump</t>
  </si>
  <si>
    <t>Equipment for Castle pond</t>
  </si>
  <si>
    <t>Labour on ditch, assume included with pond, but assume total 3 men by day during treatment period due to extra pumps etc.</t>
  </si>
  <si>
    <t>Flush using water pumped up from river.  Assume concurrent with recovery period in Castle pond, but can flush clean within 5 days.</t>
  </si>
  <si>
    <t xml:space="preserve">Assume treat 100m ditch, treat after application to pond, treat at high dose 2mg/l, recirculate 1 day then dewater to land. </t>
  </si>
  <si>
    <t>If assume min 2 people at all times, labour in recovery phase goes to 125 man days.</t>
  </si>
  <si>
    <t>But assume require 2nd person for dewater to land operation by day, plus assume extra person for 5 days on ditch (85 man days).</t>
  </si>
  <si>
    <t xml:space="preserve">Labour for pond 3 shifts for 24 hour coverage - minimum is  3 people on treatment day then one person (60 man days).   </t>
  </si>
  <si>
    <t>Treatment day at pond, 2 days followup, c. 15 days slow dewater, 2 contingency for wet days = 20 days</t>
  </si>
  <si>
    <t>Recovery period for pond assume progressively dewater to c. 1 ha field and plantation, leaving buffer zone by river, assume can apply 50 mm/day, or 500m3</t>
  </si>
  <si>
    <t>Hold  pond at maximum level for 2 days, hose margins etc. keep recirculating</t>
  </si>
  <si>
    <t>Application Pyblast to pond 1 day</t>
  </si>
  <si>
    <t>Water control work consumables allowance for sandbags, plastic sheeting, small control at river inlet</t>
  </si>
  <si>
    <t>Water control work in preparation: shut off inflow from river, set up sump d/s pond, rig pumps, test for pond control and for dewater to field</t>
  </si>
  <si>
    <t>Castle pond assumptions:</t>
  </si>
  <si>
    <t>Could reduce costs on gravel pit treatment if: a) omited science programme, b) used cheaper labour</t>
  </si>
  <si>
    <t>bioassays, 3 associated with treatment, plus up to 5 in recovery period</t>
  </si>
  <si>
    <t>no fish rescue here (prior removal by former fishery manager) - would be c. 6 man day to next out  plus transport in aerated tanks etc. if did it</t>
  </si>
  <si>
    <t>plant hire is est. cost for inflatable or other boat, plus sprayer and small boom</t>
  </si>
  <si>
    <t>test crayfish - assume min 2 days x 2 people as need to trap to get them, also assume buy/make test cages @£10ea</t>
  </si>
  <si>
    <t>hydrology assume no groundwater survey or monitoring required</t>
  </si>
  <si>
    <t>Site clearance, minimal, just gateway and hire/use of strimmer</t>
  </si>
  <si>
    <t>Gravel pit assumptions</t>
  </si>
  <si>
    <t>Scenario 1 assumptions</t>
  </si>
  <si>
    <t>Pyblast concentrate, l per 1000m3 water</t>
  </si>
  <si>
    <t>Pyblast concentrate l per m3 water</t>
  </si>
  <si>
    <t>target dosage ng/l pyrethrins</t>
  </si>
  <si>
    <t>Calculator for dosage</t>
  </si>
  <si>
    <t>Labour rate of pay</t>
  </si>
  <si>
    <t>Staff rate of pay</t>
  </si>
  <si>
    <t>Longest length on N Esk 67km</t>
  </si>
  <si>
    <t>Spread to most catchment</t>
  </si>
  <si>
    <t>Spread to all catchment</t>
  </si>
  <si>
    <t>(Wharfe)</t>
  </si>
  <si>
    <t>km/year</t>
  </si>
  <si>
    <t>Typical case signal expansion</t>
  </si>
  <si>
    <t>N Esk u/s to source</t>
  </si>
  <si>
    <t>River length</t>
  </si>
  <si>
    <t>N Esk d/s to NTL</t>
  </si>
  <si>
    <t>Stream lengths</t>
  </si>
  <si>
    <t xml:space="preserve">Luther d/s to N Esk </t>
  </si>
  <si>
    <t>Scenario 3 addition</t>
  </si>
  <si>
    <t>years</t>
  </si>
  <si>
    <t>Typical spread</t>
  </si>
  <si>
    <t>Best spread</t>
  </si>
  <si>
    <t>Progress (years)</t>
  </si>
  <si>
    <t>Bad case introduction to catchment</t>
  </si>
  <si>
    <t>Expected spread from Mains pond to entire catchment</t>
  </si>
  <si>
    <t>(Ure)</t>
  </si>
  <si>
    <t>Best case signal expansion</t>
  </si>
  <si>
    <t>river' length</t>
  </si>
  <si>
    <t>Stream' length</t>
  </si>
  <si>
    <t>Scenario 2 addition</t>
  </si>
  <si>
    <t>This may be an under-estimate because as the river gets bigger different technologies may be required.</t>
  </si>
  <si>
    <t>To derive scenario 3 stream and river treatment costs have been extrapolated from their respective lengths in scenario 2.</t>
  </si>
  <si>
    <t>After 5 years delay typical case</t>
  </si>
  <si>
    <t>Total scenario 3</t>
  </si>
  <si>
    <t>After 5 years delay best case</t>
  </si>
  <si>
    <t>Total scenario 2</t>
  </si>
  <si>
    <t>Ideal re-treatment</t>
  </si>
  <si>
    <t>Total scenario 1</t>
  </si>
  <si>
    <t>Total monitoring for 5 years</t>
  </si>
  <si>
    <t>Consumables</t>
  </si>
  <si>
    <t>streams 5X(3+4), river 5x(2+3)</t>
  </si>
  <si>
    <t>Labour</t>
  </si>
  <si>
    <t>Follow up monitoring</t>
  </si>
  <si>
    <t>Totals</t>
  </si>
  <si>
    <t>labour total</t>
  </si>
  <si>
    <t>Reports</t>
  </si>
  <si>
    <t>Cost</t>
  </si>
  <si>
    <t>Plant hire</t>
  </si>
  <si>
    <t>Aftercare of site</t>
  </si>
  <si>
    <t>Bioassay treatment/recovery</t>
  </si>
  <si>
    <t>monitor crayfish</t>
  </si>
  <si>
    <t>Treatment misc</t>
  </si>
  <si>
    <t>Py Cost  £/l:</t>
  </si>
  <si>
    <t>Treatment Py</t>
  </si>
  <si>
    <t>l/1000m3</t>
  </si>
  <si>
    <t>Treatment concentration</t>
  </si>
  <si>
    <t>m</t>
  </si>
  <si>
    <t>avg perimeter width</t>
  </si>
  <si>
    <t>Treatment length</t>
  </si>
  <si>
    <t>m3</t>
  </si>
  <si>
    <t>Treatment volume</t>
  </si>
  <si>
    <t>200m sections</t>
  </si>
  <si>
    <t>Treatment labour</t>
  </si>
  <si>
    <t xml:space="preserve"> add test crayfish</t>
  </si>
  <si>
    <t>water control works</t>
  </si>
  <si>
    <t>Site preparation and gear to site</t>
  </si>
  <si>
    <t>Land herbicide</t>
  </si>
  <si>
    <t>Water herbicide</t>
  </si>
  <si>
    <t>hydrology survey</t>
  </si>
  <si>
    <t>fish removal costs</t>
  </si>
  <si>
    <t>Planning+permissions</t>
  </si>
  <si>
    <t>Survey</t>
  </si>
  <si>
    <t>lab m-d</t>
  </si>
  <si>
    <t>staff m-d</t>
  </si>
  <si>
    <t>cost</t>
  </si>
  <si>
    <t>stream length</t>
  </si>
  <si>
    <t>Mains pond</t>
  </si>
  <si>
    <t>Castle Pond</t>
  </si>
  <si>
    <t>Gravel Pit</t>
  </si>
  <si>
    <t>Addition for scenario 2 - after 5 years delay</t>
  </si>
  <si>
    <t>Scenario 1 - ideal treatment</t>
  </si>
  <si>
    <t>N Esk costing scenarios</t>
  </si>
  <si>
    <t>Variables:</t>
  </si>
  <si>
    <r>
      <rPr>
        <sz val="12"/>
        <color indexed="8"/>
        <rFont val="Calibri"/>
        <family val="2"/>
      </rPr>
      <t>It is assumed that any fish lost by crayfish predation will be replaced by re-stocking (re-stocking cost is used as a surrogate measure of environmental impact)</t>
    </r>
    <r>
      <rPr>
        <sz val="14"/>
        <color indexed="8"/>
        <rFont val="Calibri"/>
        <family val="2"/>
      </rPr>
      <t>.</t>
    </r>
  </si>
  <si>
    <t>typical</t>
  </si>
  <si>
    <t>If the first trib is at the introduction point progress along subsequent tribs falls off in proportion by:</t>
  </si>
  <si>
    <t xml:space="preserve">The sheet 'modelauto' automatically adjusts t, the average trib distance, so that  when the main river length is full the total rivers lengths (tributaries) are also full. But this may not represent a real case where  expansion into the tributaries can be expected to continue after the main river is full, so here t is left as a variable (0.9 works well typically) to allow calibration. </t>
  </si>
  <si>
    <t>enter alternative rate of pay if required</t>
  </si>
  <si>
    <t>spread sheet variables shown in orange can be altered to change assumptions and associated costs</t>
  </si>
  <si>
    <t>downstream rate spread of crayfish</t>
  </si>
  <si>
    <t>upstream rate of spread of crayfish</t>
  </si>
  <si>
    <t>avg.  Distance between tributaries</t>
  </si>
  <si>
    <t>cost to restock catchment</t>
  </si>
  <si>
    <t>est. existing returning salmon</t>
  </si>
  <si>
    <t>multiplier factor adults to smolt stocked</t>
  </si>
  <si>
    <t>cost per smolt stocked</t>
  </si>
  <si>
    <t>factor adults to smolt stocked</t>
  </si>
  <si>
    <t>est. existing salmon run</t>
  </si>
  <si>
    <t>est. existing  salmon run</t>
  </si>
  <si>
    <t>NPV salmon only</t>
  </si>
  <si>
    <t>NPV trout only</t>
  </si>
  <si>
    <t>NPV salmon and trout</t>
  </si>
  <si>
    <t>spread sheet variables (discounting)</t>
  </si>
  <si>
    <t>This will appear to operate as a worst case situation in terms of point introduction into the system unless the downstream rate is modified.</t>
  </si>
  <si>
    <t>There is no limit to total rivers length, the model limits when the maximum required re-stock value is reached for salmon.</t>
  </si>
  <si>
    <t>values in black will auto-calculate</t>
  </si>
  <si>
    <t>Discounting factor as a proportion (e.g. 1.5% = 0.015)</t>
  </si>
  <si>
    <t>Calculator for quantity of Pyblast required to carry out a biocide treatment and its cost</t>
  </si>
  <si>
    <t>Method of use</t>
  </si>
  <si>
    <t>Note: the green cells can have values added by the user and calculations will appear automatically in the other cells.</t>
  </si>
  <si>
    <t>1. determine number of waterbodies to be treated</t>
  </si>
  <si>
    <t>2. if there are more than 5 insert a row within the group and drag and drop from the row above to extend calculations</t>
  </si>
  <si>
    <t>3. enter the actual volume for ponds, if the actual volume of each site is available from bathymetric survey, in column E (user entered volume, m3, optional)</t>
  </si>
  <si>
    <t>4. enter area and depth if the actual volume is not yet known, an approximate volume will  then be calculated. Do not enter values for area and depth if the actual volume is known</t>
  </si>
  <si>
    <t>5. enter the perimeter length, so dosage for the margins can be calculated.</t>
  </si>
  <si>
    <t xml:space="preserve">6. enter the target dosage.  Minimum recommended target field dosage is  0.15 mg/l natural pyrethrins.  </t>
  </si>
  <si>
    <t xml:space="preserve">Increase dosage if there is likely to be greater rate of environmental degradation, due to silt, abundant plants or high turbidity </t>
  </si>
  <si>
    <t>Maximum target dosage est. 1.0 mg/l.  Typical range is likely to be 0.2-0.5 mg/l.</t>
  </si>
  <si>
    <t>7. enter cost of chemical product</t>
  </si>
  <si>
    <t>8. enter a contingency allowance (% extra) for factors such as plants etc., or leave as 0%</t>
  </si>
  <si>
    <t>9. enter the physical parameters for streams, outflows, inflows etc.</t>
  </si>
  <si>
    <t>10. enter target dosage natural pyrethrins.  This may be higher than the rate for waterbodies if treatment is short duration, minimum 3 hours contact time.</t>
  </si>
  <si>
    <t xml:space="preserve">Note that exposure time = concentration * time.  </t>
  </si>
  <si>
    <t xml:space="preserve">If crayfish get a lethal dosage in still water within 12 hours, but stream is dosed then pumped off after 4 hours, need an intial target dose 3 times higher for the stream.  </t>
  </si>
  <si>
    <t>Environmental degradation starts immediately on application.  Degradation rate is fastest in sunshine and warm conditions and in presence of high turbidity, high organic matter content</t>
  </si>
  <si>
    <t>Note: bank full depth of stream is required, because refuges within the banks need to be flooded to reach crayfish within them</t>
  </si>
  <si>
    <t>11. Total cost, with and without contingency allowance is calculated automatically (cell B40, B41)</t>
  </si>
  <si>
    <t>Note: cost does not include: 1. pre-treatment survey costs, project management and other feasibility study costs</t>
  </si>
  <si>
    <t>2. cost does not include the cost of hydraulic control, equipment or labour.  Time to full recovery of stream sections variable depending on conditions.</t>
  </si>
  <si>
    <t>Note that Pyblast (Agropharm Ltd) is generally sold in 5l containers, 4 per carton (20l)</t>
  </si>
  <si>
    <t>Pyblast price £/litre concentrate</t>
  </si>
  <si>
    <t>Ponds</t>
  </si>
  <si>
    <t>perimeter length, m</t>
  </si>
  <si>
    <t>area, m^2</t>
  </si>
  <si>
    <t>depth, m</t>
  </si>
  <si>
    <t>(user entered) volume, m3, optional</t>
  </si>
  <si>
    <t>Target dosage natural pyrethrins mg/l</t>
  </si>
  <si>
    <t>Waterbody volume used in calculation</t>
  </si>
  <si>
    <t>Volume Pyblast required, l</t>
  </si>
  <si>
    <t>Cost £</t>
  </si>
  <si>
    <t xml:space="preserve"> Pyblast concentrate as spray for margins, 1 l for 200m x 1m</t>
  </si>
  <si>
    <t>Cost for margins £</t>
  </si>
  <si>
    <t>Additional allowance X% extra</t>
  </si>
  <si>
    <t>Total volume (including X%  extra)</t>
  </si>
  <si>
    <t>Quantity of Pyblast required, l</t>
  </si>
  <si>
    <t xml:space="preserve">Cost for volume +X% </t>
  </si>
  <si>
    <t>pond 1</t>
  </si>
  <si>
    <t>pond 2</t>
  </si>
  <si>
    <t>pond 3</t>
  </si>
  <si>
    <t>pond 4</t>
  </si>
  <si>
    <t>pond 5</t>
  </si>
  <si>
    <t>sub-totals</t>
  </si>
  <si>
    <t>Stream sections</t>
  </si>
  <si>
    <t>width, m</t>
  </si>
  <si>
    <t>depth, bed to bank-full, m</t>
  </si>
  <si>
    <t>length, m</t>
  </si>
  <si>
    <t>channel volume</t>
  </si>
  <si>
    <t>Py for margins,  0.5m each side at x100 dilution concentrate</t>
  </si>
  <si>
    <t>section 1</t>
  </si>
  <si>
    <t>section 2</t>
  </si>
  <si>
    <t>section 3</t>
  </si>
  <si>
    <t>section 4</t>
  </si>
  <si>
    <t>section 5</t>
  </si>
  <si>
    <t>Quantity of  Pyblast for ponds</t>
  </si>
  <si>
    <t>Quantity of Pyblast for streams</t>
  </si>
  <si>
    <t>Grand total quantity of Pyblast</t>
  </si>
  <si>
    <t>Cumulative cost, no contigency allowance</t>
  </si>
  <si>
    <t>Cumulative cost with X % contingency</t>
  </si>
  <si>
    <t>Handy calculator for quantities (concentrate has 30 mg/l natural pyrethrins w/w)</t>
  </si>
  <si>
    <t>target dosage mg/l pyrethrins</t>
  </si>
  <si>
    <t>Net present value in year y with discounting factor applied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</si>
</sst>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164" formatCode="0.0"/>
    <numFmt numFmtId="165" formatCode="&quot;£&quot;#,##0.00"/>
    <numFmt numFmtId="166" formatCode="0.000"/>
    <numFmt numFmtId="167" formatCode="&quot;£&quot;#,##0"/>
    <numFmt numFmtId="168" formatCode="_-&quot;£&quot;* #,##0_-;\-&quot;£&quot;* #,##0_-;_-&quot;£&quot;* &quot;-&quot;??_-;_-@_-"/>
  </numFmts>
  <fonts count="35" x14ac:knownFonts="1">
    <font>
      <sz val="11"/>
      <color theme="1"/>
      <name val="Calibri"/>
      <family val="2"/>
      <scheme val="minor"/>
    </font>
    <font>
      <sz val="11"/>
      <color indexed="23"/>
      <name val="Calibri"/>
      <family val="2"/>
    </font>
    <font>
      <sz val="11"/>
      <color indexed="53"/>
      <name val="Calibri"/>
      <family val="2"/>
    </font>
    <font>
      <b/>
      <sz val="11"/>
      <color indexed="8"/>
      <name val="Calibri"/>
      <family val="2"/>
    </font>
    <font>
      <sz val="11"/>
      <name val="Calibri"/>
      <family val="2"/>
    </font>
    <font>
      <sz val="11"/>
      <color indexed="8"/>
      <name val="Calibri"/>
      <family val="2"/>
    </font>
    <font>
      <sz val="12"/>
      <color indexed="8"/>
      <name val="Calibri"/>
      <family val="2"/>
    </font>
    <font>
      <b/>
      <sz val="14"/>
      <color indexed="8"/>
      <name val="Calibri"/>
      <family val="2"/>
    </font>
    <font>
      <sz val="14"/>
      <color indexed="8"/>
      <name val="Calibri"/>
      <family val="2"/>
    </font>
    <font>
      <b/>
      <u/>
      <sz val="14"/>
      <color indexed="8"/>
      <name val="Calibri"/>
      <family val="2"/>
    </font>
    <font>
      <b/>
      <sz val="16"/>
      <color indexed="8"/>
      <name val="Calibri"/>
      <family val="2"/>
    </font>
    <font>
      <b/>
      <sz val="16"/>
      <color indexed="8"/>
      <name val="Arial"/>
      <family val="2"/>
    </font>
    <font>
      <i/>
      <sz val="11"/>
      <color indexed="8"/>
      <name val="Calibri"/>
      <family val="2"/>
    </font>
    <font>
      <b/>
      <sz val="18"/>
      <color indexed="8"/>
      <name val="Calibri"/>
      <family val="2"/>
    </font>
    <font>
      <sz val="11"/>
      <color theme="1"/>
      <name val="Calibri"/>
      <family val="2"/>
      <scheme val="minor"/>
    </font>
    <font>
      <b/>
      <sz val="11"/>
      <color theme="1"/>
      <name val="Calibri"/>
      <family val="2"/>
      <scheme val="minor"/>
    </font>
    <font>
      <sz val="11"/>
      <color theme="9" tint="-0.249977111117893"/>
      <name val="Calibri"/>
      <family val="2"/>
      <scheme val="minor"/>
    </font>
    <font>
      <sz val="11"/>
      <color theme="1" tint="0.34998626667073579"/>
      <name val="Calibri"/>
      <family val="2"/>
      <scheme val="minor"/>
    </font>
    <font>
      <b/>
      <sz val="11"/>
      <color theme="1" tint="0.34998626667073579"/>
      <name val="Calibri"/>
      <family val="2"/>
    </font>
    <font>
      <u/>
      <sz val="11"/>
      <color theme="9" tint="-0.249977111117893"/>
      <name val="Calibri"/>
      <family val="2"/>
      <scheme val="minor"/>
    </font>
    <font>
      <sz val="11"/>
      <name val="Calibri"/>
      <family val="2"/>
      <scheme val="minor"/>
    </font>
    <font>
      <b/>
      <sz val="11"/>
      <color theme="9" tint="-0.249977111117893"/>
      <name val="Calibri"/>
      <family val="2"/>
    </font>
    <font>
      <sz val="11"/>
      <color theme="1" tint="0.499984740745262"/>
      <name val="Calibri"/>
      <family val="2"/>
      <scheme val="minor"/>
    </font>
    <font>
      <b/>
      <sz val="11"/>
      <color rgb="FF002060"/>
      <name val="Calibri"/>
      <family val="2"/>
    </font>
    <font>
      <sz val="11"/>
      <color rgb="FF002060"/>
      <name val="Calibri"/>
      <family val="2"/>
    </font>
    <font>
      <sz val="11"/>
      <color theme="1" tint="4.9989318521683403E-2"/>
      <name val="Calibri"/>
      <family val="2"/>
    </font>
    <font>
      <sz val="11"/>
      <color theme="1" tint="4.9989318521683403E-2"/>
      <name val="Calibri"/>
      <family val="2"/>
      <scheme val="minor"/>
    </font>
    <font>
      <b/>
      <sz val="11"/>
      <color theme="1" tint="4.9989318521683403E-2"/>
      <name val="Calibri"/>
      <family val="2"/>
    </font>
    <font>
      <sz val="11"/>
      <color theme="9"/>
      <name val="Calibri"/>
      <family val="2"/>
      <scheme val="minor"/>
    </font>
    <font>
      <sz val="11"/>
      <color theme="1"/>
      <name val="Calibri"/>
      <family val="2"/>
    </font>
    <font>
      <sz val="12"/>
      <color rgb="FF000000"/>
      <name val="Calibri"/>
      <family val="2"/>
      <scheme val="minor"/>
    </font>
    <font>
      <sz val="11"/>
      <color rgb="FF000000"/>
      <name val="Calibri"/>
      <family val="2"/>
      <scheme val="minor"/>
    </font>
    <font>
      <sz val="10"/>
      <name val="Arial"/>
      <family val="2"/>
    </font>
    <font>
      <b/>
      <sz val="10"/>
      <name val="Arial"/>
      <family val="2"/>
    </font>
    <font>
      <i/>
      <sz val="10"/>
      <name val="Arial"/>
      <family val="2"/>
    </font>
  </fonts>
  <fills count="8">
    <fill>
      <patternFill patternType="none"/>
    </fill>
    <fill>
      <patternFill patternType="gray125"/>
    </fill>
    <fill>
      <patternFill patternType="solid">
        <fgColor theme="6" tint="0.59996337778862885"/>
        <bgColor indexed="64"/>
      </patternFill>
    </fill>
    <fill>
      <patternFill patternType="solid">
        <fgColor theme="6" tint="0.79998168889431442"/>
        <bgColor indexed="64"/>
      </patternFill>
    </fill>
    <fill>
      <patternFill patternType="solid">
        <fgColor indexed="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4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
    <xf numFmtId="0" fontId="0" fillId="0" borderId="0"/>
    <xf numFmtId="44" fontId="5" fillId="0" borderId="0" applyFont="0" applyFill="0" applyBorder="0" applyAlignment="0" applyProtection="0"/>
    <xf numFmtId="9" fontId="14" fillId="0" borderId="0" applyFont="0" applyFill="0" applyBorder="0" applyAlignment="0" applyProtection="0"/>
    <xf numFmtId="0" fontId="32" fillId="0" borderId="0"/>
  </cellStyleXfs>
  <cellXfs count="296">
    <xf numFmtId="0" fontId="0" fillId="0" borderId="0" xfId="0"/>
    <xf numFmtId="164" fontId="0" fillId="0" borderId="0" xfId="0" applyNumberFormat="1" applyAlignment="1">
      <alignment horizontal="center"/>
    </xf>
    <xf numFmtId="165" fontId="0" fillId="0" borderId="0" xfId="0" applyNumberFormat="1" applyAlignment="1">
      <alignment horizontal="center"/>
    </xf>
    <xf numFmtId="165" fontId="0" fillId="0" borderId="0" xfId="0" applyNumberFormat="1"/>
    <xf numFmtId="0" fontId="0" fillId="0" borderId="0" xfId="0"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65" fontId="0" fillId="0" borderId="1" xfId="0" applyNumberFormat="1" applyBorder="1" applyAlignment="1">
      <alignment horizontal="center"/>
    </xf>
    <xf numFmtId="165" fontId="0" fillId="0" borderId="2" xfId="0" applyNumberFormat="1" applyBorder="1"/>
    <xf numFmtId="165" fontId="0" fillId="0" borderId="3" xfId="0" applyNumberFormat="1" applyBorder="1" applyAlignment="1">
      <alignment horizontal="center"/>
    </xf>
    <xf numFmtId="165" fontId="0" fillId="0" borderId="0" xfId="0" applyNumberFormat="1" applyBorder="1"/>
    <xf numFmtId="0" fontId="1" fillId="0" borderId="0" xfId="0" applyFont="1" applyFill="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165" fontId="1" fillId="0" borderId="0" xfId="0" applyNumberFormat="1" applyFont="1"/>
    <xf numFmtId="165" fontId="4" fillId="0" borderId="0" xfId="0" applyNumberFormat="1" applyFont="1" applyFill="1"/>
    <xf numFmtId="0" fontId="0" fillId="0" borderId="0" xfId="0" applyFill="1"/>
    <xf numFmtId="0" fontId="16" fillId="0" borderId="0" xfId="0" applyFont="1" applyFill="1"/>
    <xf numFmtId="0" fontId="3" fillId="0" borderId="0" xfId="0" applyFont="1" applyFill="1"/>
    <xf numFmtId="165" fontId="4" fillId="0" borderId="0" xfId="0" applyNumberFormat="1" applyFont="1"/>
    <xf numFmtId="0" fontId="3" fillId="0" borderId="0" xfId="0" applyFont="1"/>
    <xf numFmtId="44" fontId="14" fillId="0" borderId="0" xfId="1" applyFont="1"/>
    <xf numFmtId="0" fontId="2" fillId="0" borderId="0" xfId="0" applyFont="1"/>
    <xf numFmtId="0" fontId="3" fillId="0" borderId="0" xfId="0" applyFont="1" applyBorder="1" applyAlignment="1">
      <alignment horizontal="center"/>
    </xf>
    <xf numFmtId="0" fontId="2" fillId="0" borderId="0" xfId="0" applyFont="1" applyFill="1" applyAlignment="1">
      <alignment horizontal="left"/>
    </xf>
    <xf numFmtId="0" fontId="0" fillId="0" borderId="0" xfId="0" applyBorder="1"/>
    <xf numFmtId="0" fontId="3" fillId="0" borderId="0" xfId="0" applyFont="1" applyBorder="1"/>
    <xf numFmtId="0" fontId="0" fillId="0" borderId="0" xfId="0" applyFont="1" applyAlignment="1">
      <alignment horizontal="center"/>
    </xf>
    <xf numFmtId="0" fontId="0" fillId="0" borderId="0" xfId="0" applyFont="1"/>
    <xf numFmtId="0" fontId="0" fillId="0" borderId="3" xfId="0" applyFont="1" applyBorder="1"/>
    <xf numFmtId="0" fontId="0" fillId="0" borderId="2" xfId="0" applyBorder="1" applyAlignment="1">
      <alignment horizontal="center"/>
    </xf>
    <xf numFmtId="0" fontId="0" fillId="0" borderId="1" xfId="0" applyBorder="1" applyAlignment="1">
      <alignment horizontal="center"/>
    </xf>
    <xf numFmtId="0" fontId="0" fillId="0" borderId="2" xfId="0" applyBorder="1"/>
    <xf numFmtId="0" fontId="3" fillId="0" borderId="2" xfId="0" applyFont="1" applyBorder="1"/>
    <xf numFmtId="0" fontId="17" fillId="0" borderId="2" xfId="0" applyFont="1" applyBorder="1"/>
    <xf numFmtId="0" fontId="18" fillId="0" borderId="2" xfId="0" applyFont="1" applyBorder="1"/>
    <xf numFmtId="0" fontId="17" fillId="0" borderId="0" xfId="0" applyFont="1"/>
    <xf numFmtId="0" fontId="17" fillId="0" borderId="0" xfId="0" applyFont="1" applyBorder="1"/>
    <xf numFmtId="0" fontId="18" fillId="0" borderId="0" xfId="0" applyFont="1" applyBorder="1"/>
    <xf numFmtId="0" fontId="0" fillId="0" borderId="0" xfId="0" applyAlignment="1">
      <alignment wrapText="1"/>
    </xf>
    <xf numFmtId="0" fontId="6" fillId="0" borderId="0" xfId="0" applyFont="1"/>
    <xf numFmtId="0" fontId="7" fillId="0" borderId="0" xfId="0" applyFont="1"/>
    <xf numFmtId="0" fontId="9" fillId="0" borderId="0" xfId="0" applyFont="1"/>
    <xf numFmtId="0" fontId="3" fillId="0" borderId="1" xfId="0" applyFont="1" applyFill="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0" fillId="0" borderId="3" xfId="0" applyBorder="1"/>
    <xf numFmtId="0" fontId="0" fillId="0" borderId="8" xfId="0" applyBorder="1"/>
    <xf numFmtId="0" fontId="3" fillId="0" borderId="8" xfId="0" applyFont="1" applyBorder="1"/>
    <xf numFmtId="0" fontId="2" fillId="0" borderId="0" xfId="0" applyFont="1" applyBorder="1"/>
    <xf numFmtId="0" fontId="0" fillId="0" borderId="9" xfId="0" applyBorder="1"/>
    <xf numFmtId="0" fontId="0" fillId="0" borderId="10" xfId="0" applyBorder="1"/>
    <xf numFmtId="0" fontId="2" fillId="0" borderId="10" xfId="0" applyFont="1" applyBorder="1"/>
    <xf numFmtId="0" fontId="3" fillId="0" borderId="11" xfId="0" applyFont="1" applyBorder="1"/>
    <xf numFmtId="44" fontId="16" fillId="0" borderId="0" xfId="1" applyFont="1"/>
    <xf numFmtId="0" fontId="16" fillId="0" borderId="0" xfId="0" applyFont="1"/>
    <xf numFmtId="0" fontId="7" fillId="0" borderId="0" xfId="0" applyFont="1" applyBorder="1" applyAlignment="1">
      <alignment horizontal="center"/>
    </xf>
    <xf numFmtId="0" fontId="19" fillId="0" borderId="0" xfId="0" applyFont="1"/>
    <xf numFmtId="0" fontId="1" fillId="0" borderId="3" xfId="0" applyFont="1" applyBorder="1" applyAlignment="1">
      <alignment horizontal="center"/>
    </xf>
    <xf numFmtId="164" fontId="1" fillId="0" borderId="8" xfId="0" applyNumberFormat="1" applyFont="1" applyBorder="1" applyAlignment="1">
      <alignment horizontal="center"/>
    </xf>
    <xf numFmtId="0" fontId="1" fillId="0" borderId="9" xfId="0" applyFont="1" applyFill="1" applyBorder="1" applyAlignment="1">
      <alignment horizontal="center"/>
    </xf>
    <xf numFmtId="0" fontId="1" fillId="0" borderId="11" xfId="0" applyFont="1" applyBorder="1" applyAlignment="1">
      <alignment horizontal="center"/>
    </xf>
    <xf numFmtId="0" fontId="4" fillId="0" borderId="4" xfId="0" applyFont="1" applyFill="1" applyBorder="1" applyAlignment="1">
      <alignment horizontal="center"/>
    </xf>
    <xf numFmtId="0" fontId="4" fillId="0" borderId="6" xfId="0" applyFont="1" applyBorder="1" applyAlignment="1">
      <alignment horizontal="center"/>
    </xf>
    <xf numFmtId="0" fontId="20" fillId="0" borderId="0" xfId="0" applyFont="1"/>
    <xf numFmtId="0" fontId="0" fillId="0" borderId="1" xfId="0" applyBorder="1" applyAlignment="1">
      <alignment horizontal="center"/>
    </xf>
    <xf numFmtId="0" fontId="0" fillId="0" borderId="1" xfId="0" applyBorder="1"/>
    <xf numFmtId="44" fontId="0" fillId="0" borderId="2" xfId="0" applyNumberFormat="1" applyBorder="1"/>
    <xf numFmtId="0" fontId="0" fillId="0" borderId="7" xfId="0" applyBorder="1"/>
    <xf numFmtId="165" fontId="4" fillId="0" borderId="2" xfId="0" applyNumberFormat="1" applyFont="1" applyBorder="1"/>
    <xf numFmtId="0" fontId="3" fillId="0" borderId="7" xfId="0" applyFont="1" applyBorder="1"/>
    <xf numFmtId="0" fontId="2" fillId="0" borderId="2" xfId="0" applyFont="1" applyBorder="1"/>
    <xf numFmtId="0" fontId="16" fillId="0" borderId="0" xfId="0" applyFont="1" applyBorder="1"/>
    <xf numFmtId="44" fontId="14" fillId="0" borderId="8" xfId="1" applyFont="1" applyBorder="1"/>
    <xf numFmtId="165" fontId="4" fillId="0" borderId="0" xfId="0" applyNumberFormat="1" applyFont="1" applyBorder="1"/>
    <xf numFmtId="0" fontId="0" fillId="0" borderId="3" xfId="0" applyFill="1" applyBorder="1"/>
    <xf numFmtId="44" fontId="16" fillId="0" borderId="0" xfId="1" applyFont="1" applyBorder="1"/>
    <xf numFmtId="0" fontId="3" fillId="0" borderId="9" xfId="0" applyFont="1" applyBorder="1"/>
    <xf numFmtId="0" fontId="2" fillId="0" borderId="11" xfId="0" applyFont="1" applyFill="1" applyBorder="1" applyAlignment="1">
      <alignment horizontal="left"/>
    </xf>
    <xf numFmtId="0" fontId="0" fillId="0" borderId="9" xfId="0" applyBorder="1" applyAlignment="1">
      <alignment horizontal="center"/>
    </xf>
    <xf numFmtId="0" fontId="12" fillId="0" borderId="0" xfId="0" applyFont="1"/>
    <xf numFmtId="0" fontId="0" fillId="0" borderId="0" xfId="0" applyFill="1" applyBorder="1"/>
    <xf numFmtId="164" fontId="3" fillId="0" borderId="1" xfId="0" applyNumberFormat="1" applyFont="1" applyBorder="1" applyAlignment="1">
      <alignment horizontal="center"/>
    </xf>
    <xf numFmtId="164" fontId="0" fillId="0" borderId="7" xfId="0" applyNumberFormat="1" applyBorder="1" applyAlignment="1">
      <alignment horizontal="center"/>
    </xf>
    <xf numFmtId="0" fontId="0" fillId="0" borderId="5" xfId="0" applyBorder="1"/>
    <xf numFmtId="0" fontId="0" fillId="0" borderId="6" xfId="0" applyFill="1" applyBorder="1"/>
    <xf numFmtId="164" fontId="3" fillId="0" borderId="4" xfId="0" applyNumberFormat="1" applyFont="1" applyBorder="1" applyAlignment="1">
      <alignment horizontal="center"/>
    </xf>
    <xf numFmtId="164" fontId="3" fillId="0" borderId="5" xfId="0" applyNumberFormat="1" applyFont="1" applyBorder="1" applyAlignment="1">
      <alignment horizontal="center"/>
    </xf>
    <xf numFmtId="164" fontId="0" fillId="0" borderId="5" xfId="0" applyNumberFormat="1" applyBorder="1" applyAlignment="1">
      <alignment horizontal="center"/>
    </xf>
    <xf numFmtId="0" fontId="3" fillId="0" borderId="0" xfId="0" applyFont="1" applyAlignment="1">
      <alignment horizontal="center"/>
    </xf>
    <xf numFmtId="164" fontId="0" fillId="0" borderId="3" xfId="0" applyNumberFormat="1" applyBorder="1" applyAlignment="1">
      <alignment horizontal="center"/>
    </xf>
    <xf numFmtId="0" fontId="0" fillId="0" borderId="8" xfId="0" applyBorder="1" applyAlignment="1">
      <alignment horizontal="center"/>
    </xf>
    <xf numFmtId="164" fontId="0" fillId="0" borderId="1" xfId="0" applyNumberFormat="1" applyBorder="1" applyAlignment="1">
      <alignment horizontal="center"/>
    </xf>
    <xf numFmtId="164" fontId="0" fillId="0" borderId="8" xfId="0" applyNumberFormat="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11" xfId="0" applyBorder="1"/>
    <xf numFmtId="0" fontId="0" fillId="0" borderId="0" xfId="0" quotePrefix="1"/>
    <xf numFmtId="0" fontId="0" fillId="0" borderId="12" xfId="0" applyFont="1" applyBorder="1"/>
    <xf numFmtId="0" fontId="0" fillId="0" borderId="12" xfId="0" applyBorder="1"/>
    <xf numFmtId="0" fontId="3" fillId="0" borderId="13" xfId="0" applyFont="1" applyFill="1" applyBorder="1"/>
    <xf numFmtId="0" fontId="0" fillId="0" borderId="0" xfId="0" applyNumberFormat="1" applyBorder="1"/>
    <xf numFmtId="0" fontId="3" fillId="0" borderId="0" xfId="1" applyNumberFormat="1" applyFont="1" applyBorder="1"/>
    <xf numFmtId="44" fontId="3" fillId="0" borderId="0" xfId="1" applyFont="1" applyBorder="1"/>
    <xf numFmtId="0" fontId="0" fillId="0" borderId="14" xfId="0" applyFont="1" applyBorder="1"/>
    <xf numFmtId="0" fontId="3" fillId="0" borderId="15" xfId="0" applyFont="1" applyBorder="1"/>
    <xf numFmtId="0" fontId="0" fillId="0" borderId="16" xfId="0" applyFont="1" applyBorder="1"/>
    <xf numFmtId="0" fontId="3" fillId="0" borderId="17" xfId="0" applyFont="1" applyBorder="1"/>
    <xf numFmtId="0" fontId="3" fillId="0" borderId="0" xfId="0" applyFont="1" applyFill="1" applyBorder="1"/>
    <xf numFmtId="44" fontId="5" fillId="0" borderId="0" xfId="1" applyFont="1" applyBorder="1"/>
    <xf numFmtId="0" fontId="0" fillId="0" borderId="3" xfId="0" applyNumberFormat="1" applyBorder="1"/>
    <xf numFmtId="0" fontId="5" fillId="0" borderId="0" xfId="1" applyNumberFormat="1" applyFont="1" applyBorder="1"/>
    <xf numFmtId="44" fontId="5" fillId="0" borderId="8" xfId="1" applyFont="1" applyBorder="1"/>
    <xf numFmtId="0" fontId="0" fillId="0" borderId="8" xfId="0" applyFill="1" applyBorder="1"/>
    <xf numFmtId="0" fontId="0" fillId="0" borderId="3" xfId="0" applyNumberFormat="1" applyFill="1" applyBorder="1"/>
    <xf numFmtId="0" fontId="5" fillId="0" borderId="0" xfId="1" applyNumberFormat="1" applyFont="1" applyFill="1" applyBorder="1"/>
    <xf numFmtId="44" fontId="5" fillId="0" borderId="8" xfId="1" applyFont="1" applyFill="1" applyBorder="1"/>
    <xf numFmtId="0" fontId="0" fillId="0" borderId="1" xfId="0" applyNumberFormat="1" applyBorder="1"/>
    <xf numFmtId="0" fontId="3" fillId="0" borderId="2" xfId="1" applyNumberFormat="1" applyFont="1" applyBorder="1"/>
    <xf numFmtId="44" fontId="3" fillId="0" borderId="7" xfId="1" applyFont="1" applyBorder="1"/>
    <xf numFmtId="0" fontId="3" fillId="0" borderId="2" xfId="0" applyFont="1" applyFill="1" applyBorder="1"/>
    <xf numFmtId="0" fontId="3" fillId="0" borderId="18" xfId="0" applyFont="1" applyBorder="1"/>
    <xf numFmtId="6" fontId="0" fillId="0" borderId="18" xfId="0" applyNumberFormat="1" applyBorder="1"/>
    <xf numFmtId="0" fontId="0" fillId="0" borderId="0" xfId="0" applyNumberFormat="1" applyFill="1" applyBorder="1"/>
    <xf numFmtId="0" fontId="0" fillId="0" borderId="18" xfId="0" applyFill="1" applyBorder="1"/>
    <xf numFmtId="0" fontId="0" fillId="0" borderId="3" xfId="0"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0" fillId="2" borderId="0" xfId="0" applyFill="1"/>
    <xf numFmtId="0" fontId="15" fillId="0" borderId="11" xfId="0" applyFont="1" applyBorder="1"/>
    <xf numFmtId="0" fontId="0" fillId="0" borderId="0" xfId="0" applyBorder="1" applyAlignment="1">
      <alignment wrapText="1"/>
    </xf>
    <xf numFmtId="0" fontId="0" fillId="0" borderId="3" xfId="0" applyBorder="1" applyAlignment="1">
      <alignment wrapText="1"/>
    </xf>
    <xf numFmtId="0" fontId="0" fillId="0" borderId="8" xfId="0" applyFill="1" applyBorder="1" applyAlignment="1">
      <alignment horizontal="center"/>
    </xf>
    <xf numFmtId="166" fontId="0" fillId="0" borderId="0" xfId="0" applyNumberFormat="1" applyBorder="1" applyAlignment="1">
      <alignment horizontal="center"/>
    </xf>
    <xf numFmtId="2" fontId="0" fillId="0" borderId="3" xfId="0" applyNumberFormat="1" applyBorder="1"/>
    <xf numFmtId="0" fontId="0" fillId="0" borderId="7" xfId="0" applyFill="1" applyBorder="1" applyAlignment="1">
      <alignment horizontal="center"/>
    </xf>
    <xf numFmtId="166" fontId="0" fillId="0" borderId="2" xfId="0" applyNumberFormat="1" applyBorder="1" applyAlignment="1">
      <alignment horizontal="center"/>
    </xf>
    <xf numFmtId="2" fontId="0" fillId="0" borderId="1" xfId="0" applyNumberFormat="1" applyBorder="1"/>
    <xf numFmtId="0" fontId="21" fillId="0" borderId="0" xfId="0" applyFont="1"/>
    <xf numFmtId="167" fontId="0" fillId="0" borderId="3" xfId="0" applyNumberFormat="1" applyBorder="1" applyAlignment="1">
      <alignment horizontal="center"/>
    </xf>
    <xf numFmtId="167" fontId="4" fillId="0" borderId="9" xfId="0" applyNumberFormat="1" applyFont="1" applyFill="1" applyBorder="1" applyAlignment="1">
      <alignment horizontal="center"/>
    </xf>
    <xf numFmtId="167" fontId="0" fillId="0" borderId="0" xfId="0" applyNumberFormat="1" applyBorder="1" applyAlignment="1">
      <alignment horizontal="center"/>
    </xf>
    <xf numFmtId="168" fontId="3" fillId="0" borderId="22" xfId="1" applyNumberFormat="1" applyFont="1" applyBorder="1"/>
    <xf numFmtId="168" fontId="3" fillId="0" borderId="23" xfId="1" applyNumberFormat="1" applyFont="1" applyBorder="1"/>
    <xf numFmtId="168" fontId="3" fillId="0" borderId="24" xfId="0" applyNumberFormat="1" applyFont="1" applyBorder="1"/>
    <xf numFmtId="167" fontId="22" fillId="0" borderId="3" xfId="0" applyNumberFormat="1" applyFont="1" applyBorder="1" applyAlignment="1">
      <alignment horizontal="center"/>
    </xf>
    <xf numFmtId="167" fontId="22" fillId="0" borderId="3" xfId="0" applyNumberFormat="1" applyFont="1" applyFill="1" applyBorder="1" applyAlignment="1">
      <alignment horizontal="center"/>
    </xf>
    <xf numFmtId="167" fontId="22" fillId="0" borderId="1" xfId="0" applyNumberFormat="1" applyFont="1" applyBorder="1" applyAlignment="1">
      <alignment horizontal="center"/>
    </xf>
    <xf numFmtId="168" fontId="22" fillId="0" borderId="8" xfId="1" applyNumberFormat="1" applyFont="1" applyBorder="1" applyAlignment="1">
      <alignment horizontal="center"/>
    </xf>
    <xf numFmtId="168" fontId="22" fillId="0" borderId="7" xfId="1" applyNumberFormat="1" applyFont="1" applyBorder="1" applyAlignment="1">
      <alignment horizontal="center"/>
    </xf>
    <xf numFmtId="168" fontId="22" fillId="0" borderId="0" xfId="0" applyNumberFormat="1" applyFont="1" applyBorder="1" applyAlignment="1"/>
    <xf numFmtId="168" fontId="0" fillId="0" borderId="0" xfId="0" applyNumberFormat="1" applyBorder="1" applyAlignment="1"/>
    <xf numFmtId="168" fontId="22" fillId="0" borderId="3" xfId="0" applyNumberFormat="1" applyFont="1" applyBorder="1" applyAlignment="1"/>
    <xf numFmtId="168" fontId="22" fillId="0" borderId="2" xfId="0" applyNumberFormat="1" applyFont="1" applyBorder="1" applyAlignment="1"/>
    <xf numFmtId="168" fontId="0" fillId="0" borderId="2" xfId="0" applyNumberFormat="1" applyBorder="1" applyAlignment="1"/>
    <xf numFmtId="168" fontId="22" fillId="0" borderId="1" xfId="0" applyNumberFormat="1" applyFont="1" applyBorder="1" applyAlignment="1"/>
    <xf numFmtId="167" fontId="0" fillId="0" borderId="2" xfId="0" applyNumberFormat="1" applyBorder="1" applyAlignment="1">
      <alignment horizontal="center"/>
    </xf>
    <xf numFmtId="0" fontId="8" fillId="3" borderId="11" xfId="0" applyFont="1" applyFill="1" applyBorder="1"/>
    <xf numFmtId="0" fontId="7" fillId="3" borderId="10" xfId="0" applyFont="1" applyFill="1" applyBorder="1"/>
    <xf numFmtId="0" fontId="0" fillId="3" borderId="10" xfId="0" applyFill="1" applyBorder="1"/>
    <xf numFmtId="0" fontId="0" fillId="3" borderId="9" xfId="0" applyFill="1" applyBorder="1"/>
    <xf numFmtId="0" fontId="6" fillId="3" borderId="8" xfId="0" applyFont="1" applyFill="1" applyBorder="1"/>
    <xf numFmtId="0" fontId="7" fillId="3" borderId="0" xfId="0" applyFont="1" applyFill="1" applyBorder="1"/>
    <xf numFmtId="0" fontId="0" fillId="3" borderId="0" xfId="0" applyFill="1" applyBorder="1"/>
    <xf numFmtId="0" fontId="0" fillId="3" borderId="3" xfId="0" applyFill="1" applyBorder="1"/>
    <xf numFmtId="0" fontId="6" fillId="3" borderId="7" xfId="0" applyFont="1" applyFill="1" applyBorder="1"/>
    <xf numFmtId="0" fontId="0" fillId="3" borderId="2" xfId="0" applyFill="1" applyBorder="1"/>
    <xf numFmtId="0" fontId="0" fillId="3" borderId="1" xfId="0" applyFill="1" applyBorder="1"/>
    <xf numFmtId="0" fontId="8" fillId="3" borderId="11" xfId="0" applyFont="1" applyFill="1" applyBorder="1" applyAlignment="1">
      <alignment vertical="top"/>
    </xf>
    <xf numFmtId="0" fontId="7" fillId="3" borderId="10" xfId="0" applyFont="1" applyFill="1" applyBorder="1" applyAlignment="1">
      <alignment vertical="top"/>
    </xf>
    <xf numFmtId="0" fontId="0" fillId="3" borderId="10" xfId="0" applyFill="1" applyBorder="1" applyAlignment="1">
      <alignment vertical="top"/>
    </xf>
    <xf numFmtId="0" fontId="6" fillId="3" borderId="8" xfId="0" applyFont="1" applyFill="1" applyBorder="1" applyAlignment="1">
      <alignment vertical="top"/>
    </xf>
    <xf numFmtId="0" fontId="7" fillId="3" borderId="0" xfId="0" applyFont="1" applyFill="1" applyBorder="1" applyAlignment="1">
      <alignment vertical="top"/>
    </xf>
    <xf numFmtId="0" fontId="0" fillId="3" borderId="0" xfId="0" applyFill="1" applyBorder="1" applyAlignment="1">
      <alignment vertical="top"/>
    </xf>
    <xf numFmtId="0" fontId="0" fillId="3" borderId="6" xfId="0" applyFill="1" applyBorder="1"/>
    <xf numFmtId="0" fontId="0" fillId="3" borderId="5" xfId="0" applyFill="1" applyBorder="1"/>
    <xf numFmtId="0" fontId="0" fillId="3" borderId="4" xfId="0" applyFill="1" applyBorder="1"/>
    <xf numFmtId="0" fontId="23" fillId="0" borderId="8" xfId="0" applyFont="1" applyBorder="1" applyAlignment="1">
      <alignment horizontal="center"/>
    </xf>
    <xf numFmtId="0" fontId="24" fillId="0" borderId="8" xfId="0" applyFont="1" applyBorder="1" applyAlignment="1">
      <alignment horizontal="center"/>
    </xf>
    <xf numFmtId="0" fontId="24" fillId="0" borderId="0" xfId="0" applyFont="1" applyBorder="1" applyAlignment="1">
      <alignment horizontal="center"/>
    </xf>
    <xf numFmtId="0" fontId="24" fillId="0" borderId="8" xfId="0" applyFont="1" applyFill="1" applyBorder="1" applyAlignment="1">
      <alignment horizontal="center"/>
    </xf>
    <xf numFmtId="0" fontId="24" fillId="0" borderId="7" xfId="0" applyFont="1" applyBorder="1" applyAlignment="1">
      <alignment horizontal="center"/>
    </xf>
    <xf numFmtId="0" fontId="25" fillId="3" borderId="6" xfId="0" applyFont="1" applyFill="1" applyBorder="1"/>
    <xf numFmtId="0" fontId="26" fillId="3" borderId="5" xfId="0" applyFont="1" applyFill="1" applyBorder="1"/>
    <xf numFmtId="0" fontId="26" fillId="3" borderId="4" xfId="0" applyFont="1" applyFill="1" applyBorder="1"/>
    <xf numFmtId="167" fontId="4" fillId="0" borderId="0" xfId="0" applyNumberFormat="1" applyFont="1"/>
    <xf numFmtId="168" fontId="14" fillId="0" borderId="0" xfId="1" applyNumberFormat="1" applyFont="1" applyAlignment="1">
      <alignment horizontal="center"/>
    </xf>
    <xf numFmtId="167" fontId="0" fillId="0" borderId="0" xfId="0" applyNumberFormat="1" applyAlignment="1">
      <alignment horizontal="center"/>
    </xf>
    <xf numFmtId="166" fontId="4" fillId="0" borderId="0" xfId="0" applyNumberFormat="1" applyFont="1"/>
    <xf numFmtId="0" fontId="27" fillId="0" borderId="0" xfId="0" applyFont="1" applyFill="1" applyAlignment="1">
      <alignment horizontal="left"/>
    </xf>
    <xf numFmtId="3" fontId="28" fillId="0" borderId="0" xfId="0" applyNumberFormat="1" applyFont="1"/>
    <xf numFmtId="165" fontId="28" fillId="0" borderId="0" xfId="0" applyNumberFormat="1" applyFont="1"/>
    <xf numFmtId="0" fontId="28" fillId="0" borderId="0" xfId="0" applyFont="1"/>
    <xf numFmtId="44" fontId="29" fillId="0" borderId="0" xfId="1" applyFont="1"/>
    <xf numFmtId="44" fontId="29" fillId="0" borderId="0" xfId="1" applyFont="1" applyBorder="1"/>
    <xf numFmtId="0" fontId="2" fillId="0" borderId="8" xfId="0" applyFont="1" applyFill="1" applyBorder="1" applyAlignment="1">
      <alignment horizontal="left"/>
    </xf>
    <xf numFmtId="0" fontId="3" fillId="0" borderId="3" xfId="0" applyFont="1" applyBorder="1"/>
    <xf numFmtId="0" fontId="27" fillId="0" borderId="8" xfId="0" applyFont="1" applyFill="1" applyBorder="1" applyAlignment="1">
      <alignment horizontal="left"/>
    </xf>
    <xf numFmtId="167" fontId="0" fillId="0" borderId="0" xfId="0" applyNumberFormat="1"/>
    <xf numFmtId="0" fontId="25" fillId="3" borderId="11" xfId="0" applyFont="1" applyFill="1" applyBorder="1"/>
    <xf numFmtId="0" fontId="26" fillId="3" borderId="10" xfId="0" applyFont="1" applyFill="1" applyBorder="1"/>
    <xf numFmtId="0" fontId="26" fillId="3" borderId="9" xfId="0" applyFont="1" applyFill="1" applyBorder="1"/>
    <xf numFmtId="0" fontId="25" fillId="3" borderId="7" xfId="0" applyFont="1" applyFill="1" applyBorder="1"/>
    <xf numFmtId="0" fontId="26" fillId="3" borderId="2" xfId="0" applyFont="1" applyFill="1" applyBorder="1"/>
    <xf numFmtId="0" fontId="26" fillId="3" borderId="1" xfId="0" applyFont="1" applyFill="1" applyBorder="1"/>
    <xf numFmtId="0" fontId="0" fillId="0" borderId="8" xfId="0" applyBorder="1" applyAlignment="1">
      <alignment wrapText="1"/>
    </xf>
    <xf numFmtId="166" fontId="28" fillId="0" borderId="3" xfId="2" applyNumberFormat="1" applyFont="1" applyBorder="1"/>
    <xf numFmtId="44" fontId="0" fillId="0" borderId="0" xfId="0" applyNumberFormat="1"/>
    <xf numFmtId="0" fontId="3" fillId="0" borderId="2" xfId="0" applyFont="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13" fillId="0" borderId="2" xfId="0" applyFont="1" applyBorder="1" applyAlignment="1">
      <alignment horizontal="center"/>
    </xf>
    <xf numFmtId="0" fontId="7" fillId="0" borderId="6" xfId="0" applyFont="1" applyBorder="1" applyAlignment="1">
      <alignment horizontal="center"/>
    </xf>
    <xf numFmtId="0" fontId="0" fillId="0" borderId="5" xfId="0" applyBorder="1"/>
    <xf numFmtId="0" fontId="0" fillId="0" borderId="4" xfId="0" applyBorder="1"/>
    <xf numFmtId="0" fontId="3" fillId="0" borderId="21" xfId="0" applyFont="1"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3" fillId="0" borderId="20" xfId="0" applyFont="1" applyBorder="1" applyAlignment="1">
      <alignment horizontal="center"/>
    </xf>
    <xf numFmtId="0" fontId="3" fillId="0" borderId="19" xfId="0" applyFont="1" applyBorder="1" applyAlignment="1">
      <alignment horizontal="center"/>
    </xf>
    <xf numFmtId="0" fontId="0" fillId="0" borderId="7" xfId="0" applyBorder="1" applyAlignment="1">
      <alignment horizontal="center"/>
    </xf>
    <xf numFmtId="0" fontId="0" fillId="0" borderId="1" xfId="0" applyBorder="1" applyAlignment="1">
      <alignment horizontal="center"/>
    </xf>
    <xf numFmtId="165" fontId="4" fillId="0" borderId="7" xfId="0" applyNumberFormat="1" applyFont="1" applyBorder="1" applyAlignment="1">
      <alignment horizontal="center"/>
    </xf>
    <xf numFmtId="165" fontId="4" fillId="0" borderId="1" xfId="0" applyNumberFormat="1" applyFont="1" applyBorder="1" applyAlignment="1">
      <alignment horizontal="center"/>
    </xf>
    <xf numFmtId="0" fontId="30" fillId="3" borderId="8" xfId="0" applyFont="1" applyFill="1" applyBorder="1" applyAlignment="1">
      <alignment wrapText="1"/>
    </xf>
    <xf numFmtId="0" fontId="0" fillId="3" borderId="0" xfId="0" applyFill="1" applyBorder="1" applyAlignment="1">
      <alignment wrapText="1"/>
    </xf>
    <xf numFmtId="0" fontId="0" fillId="3" borderId="8" xfId="0" applyFill="1" applyBorder="1" applyAlignment="1">
      <alignment wrapText="1"/>
    </xf>
    <xf numFmtId="0" fontId="0" fillId="3" borderId="7" xfId="0" applyFill="1" applyBorder="1" applyAlignment="1">
      <alignment wrapText="1"/>
    </xf>
    <xf numFmtId="0" fontId="0" fillId="3" borderId="2" xfId="0" applyFill="1" applyBorder="1" applyAlignment="1">
      <alignment wrapText="1"/>
    </xf>
    <xf numFmtId="0" fontId="7" fillId="0" borderId="2" xfId="0" applyFont="1" applyBorder="1" applyAlignment="1">
      <alignment horizontal="center"/>
    </xf>
    <xf numFmtId="0" fontId="11" fillId="0" borderId="12" xfId="0" applyFont="1" applyBorder="1" applyAlignment="1">
      <alignment horizontal="center"/>
    </xf>
    <xf numFmtId="0" fontId="10" fillId="0" borderId="12" xfId="0" applyFont="1" applyBorder="1" applyAlignment="1">
      <alignment horizontal="center"/>
    </xf>
    <xf numFmtId="0" fontId="10" fillId="0" borderId="0" xfId="0" applyFont="1" applyBorder="1" applyAlignment="1">
      <alignment horizontal="center"/>
    </xf>
    <xf numFmtId="0" fontId="31" fillId="0" borderId="0" xfId="0" applyFont="1" applyAlignment="1">
      <alignment vertical="top" wrapText="1"/>
    </xf>
    <xf numFmtId="0" fontId="0" fillId="0" borderId="0" xfId="0" applyAlignment="1">
      <alignment vertical="top" wrapText="1"/>
    </xf>
    <xf numFmtId="167" fontId="0" fillId="4" borderId="0" xfId="0" applyNumberFormat="1" applyFill="1" applyAlignment="1">
      <alignment horizontal="center"/>
    </xf>
    <xf numFmtId="0" fontId="33" fillId="5" borderId="0" xfId="3" applyFont="1" applyFill="1"/>
    <xf numFmtId="0" fontId="32" fillId="5" borderId="0" xfId="3" applyFill="1"/>
    <xf numFmtId="0" fontId="32" fillId="0" borderId="0" xfId="3"/>
    <xf numFmtId="0" fontId="32" fillId="5" borderId="0" xfId="3" applyFont="1" applyFill="1"/>
    <xf numFmtId="0" fontId="32" fillId="5" borderId="0" xfId="3" applyFont="1" applyFill="1" applyAlignment="1">
      <alignment horizontal="left"/>
    </xf>
    <xf numFmtId="0" fontId="32" fillId="0" borderId="0" xfId="3" applyFont="1"/>
    <xf numFmtId="0" fontId="32" fillId="4" borderId="18" xfId="3" applyFill="1" applyBorder="1"/>
    <xf numFmtId="0" fontId="33" fillId="0" borderId="0" xfId="3" applyFont="1"/>
    <xf numFmtId="0" fontId="33" fillId="0" borderId="0" xfId="3" applyFont="1" applyAlignment="1">
      <alignment wrapText="1"/>
    </xf>
    <xf numFmtId="0" fontId="32" fillId="0" borderId="0" xfId="3" applyAlignment="1">
      <alignment wrapText="1"/>
    </xf>
    <xf numFmtId="0" fontId="32" fillId="0" borderId="0" xfId="3" applyFont="1" applyAlignment="1">
      <alignment wrapText="1"/>
    </xf>
    <xf numFmtId="0" fontId="32" fillId="0" borderId="0" xfId="3" applyFont="1" applyFill="1" applyAlignment="1">
      <alignment wrapText="1"/>
    </xf>
    <xf numFmtId="0" fontId="32" fillId="4" borderId="0" xfId="3" applyFill="1" applyAlignment="1">
      <alignment horizontal="left"/>
    </xf>
    <xf numFmtId="0" fontId="32" fillId="4" borderId="0" xfId="3" applyFill="1" applyAlignment="1">
      <alignment horizontal="center"/>
    </xf>
    <xf numFmtId="0" fontId="32" fillId="3" borderId="0" xfId="3" applyFill="1" applyAlignment="1">
      <alignment horizontal="center"/>
    </xf>
    <xf numFmtId="0" fontId="32" fillId="0" borderId="0" xfId="3" applyFill="1" applyAlignment="1">
      <alignment horizontal="center"/>
    </xf>
    <xf numFmtId="164" fontId="32" fillId="0" borderId="0" xfId="3" applyNumberFormat="1" applyAlignment="1">
      <alignment horizontal="center"/>
    </xf>
    <xf numFmtId="167" fontId="32" fillId="0" borderId="0" xfId="3" applyNumberFormat="1" applyAlignment="1">
      <alignment horizontal="center"/>
    </xf>
    <xf numFmtId="0" fontId="32" fillId="0" borderId="0" xfId="3" applyAlignment="1">
      <alignment horizontal="center"/>
    </xf>
    <xf numFmtId="1" fontId="32" fillId="0" borderId="0" xfId="3" applyNumberFormat="1" applyFill="1" applyAlignment="1">
      <alignment horizontal="center"/>
    </xf>
    <xf numFmtId="164" fontId="32" fillId="0" borderId="0" xfId="3" applyNumberFormat="1" applyFill="1" applyAlignment="1">
      <alignment horizontal="center"/>
    </xf>
    <xf numFmtId="167" fontId="32" fillId="0" borderId="0" xfId="3" applyNumberFormat="1" applyFill="1" applyAlignment="1">
      <alignment horizontal="center"/>
    </xf>
    <xf numFmtId="0" fontId="34" fillId="0" borderId="0" xfId="3" applyFont="1" applyFill="1"/>
    <xf numFmtId="0" fontId="32" fillId="6" borderId="0" xfId="3" applyFill="1"/>
    <xf numFmtId="0" fontId="33" fillId="6" borderId="0" xfId="3" applyFont="1" applyFill="1"/>
    <xf numFmtId="0" fontId="34" fillId="0" borderId="0" xfId="3" applyFont="1" applyFill="1" applyAlignment="1">
      <alignment horizontal="center"/>
    </xf>
    <xf numFmtId="164" fontId="34" fillId="0" borderId="0" xfId="3" applyNumberFormat="1" applyFont="1" applyFill="1" applyAlignment="1">
      <alignment horizontal="center"/>
    </xf>
    <xf numFmtId="167" fontId="34" fillId="0" borderId="0" xfId="3" applyNumberFormat="1" applyFont="1" applyFill="1" applyAlignment="1">
      <alignment horizontal="center"/>
    </xf>
    <xf numFmtId="0" fontId="34" fillId="6" borderId="0" xfId="3" applyFont="1" applyFill="1" applyAlignment="1">
      <alignment horizontal="center"/>
    </xf>
    <xf numFmtId="0" fontId="32" fillId="0" borderId="0" xfId="3" applyAlignment="1">
      <alignment horizontal="center" wrapText="1"/>
    </xf>
    <xf numFmtId="0" fontId="32" fillId="0" borderId="0" xfId="3" applyFont="1" applyAlignment="1">
      <alignment horizontal="center" wrapText="1"/>
    </xf>
    <xf numFmtId="164" fontId="32" fillId="0" borderId="0" xfId="3" applyNumberFormat="1"/>
    <xf numFmtId="0" fontId="34" fillId="6" borderId="0" xfId="3" applyFont="1" applyFill="1" applyAlignment="1">
      <alignment wrapText="1"/>
    </xf>
    <xf numFmtId="0" fontId="34" fillId="0" borderId="0" xfId="3" applyFont="1" applyAlignment="1">
      <alignment horizontal="center" wrapText="1"/>
    </xf>
    <xf numFmtId="164" fontId="34" fillId="0" borderId="0" xfId="3" applyNumberFormat="1" applyFont="1" applyAlignment="1">
      <alignment horizontal="center"/>
    </xf>
    <xf numFmtId="167" fontId="34" fillId="0" borderId="0" xfId="3" applyNumberFormat="1" applyFont="1" applyAlignment="1">
      <alignment horizontal="center"/>
    </xf>
    <xf numFmtId="0" fontId="32" fillId="6" borderId="0" xfId="3" applyFill="1" applyAlignment="1">
      <alignment horizontal="center"/>
    </xf>
    <xf numFmtId="1" fontId="34" fillId="0" borderId="0" xfId="3" applyNumberFormat="1" applyFont="1" applyAlignment="1">
      <alignment horizontal="center"/>
    </xf>
    <xf numFmtId="0" fontId="34" fillId="0" borderId="0" xfId="3" applyFont="1" applyAlignment="1">
      <alignment wrapText="1"/>
    </xf>
    <xf numFmtId="164" fontId="34" fillId="0" borderId="0" xfId="3" applyNumberFormat="1" applyFont="1"/>
    <xf numFmtId="167" fontId="32" fillId="0" borderId="0" xfId="3" applyNumberFormat="1"/>
    <xf numFmtId="167" fontId="32" fillId="0" borderId="0" xfId="3" applyNumberFormat="1" applyFont="1" applyFill="1" applyAlignment="1">
      <alignment horizontal="center"/>
    </xf>
    <xf numFmtId="167" fontId="33" fillId="5" borderId="0" xfId="3" applyNumberFormat="1" applyFont="1" applyFill="1" applyAlignment="1">
      <alignment horizontal="center"/>
    </xf>
    <xf numFmtId="0" fontId="15" fillId="0" borderId="0" xfId="3" applyFont="1"/>
    <xf numFmtId="0" fontId="32" fillId="0" borderId="0" xfId="3" applyAlignment="1">
      <alignment horizontal="left" wrapText="1"/>
    </xf>
    <xf numFmtId="0" fontId="32" fillId="7" borderId="0" xfId="3" applyFill="1" applyAlignment="1">
      <alignment horizontal="center"/>
    </xf>
    <xf numFmtId="166" fontId="32" fillId="0" borderId="0" xfId="3" applyNumberFormat="1" applyAlignment="1">
      <alignment horizontal="center"/>
    </xf>
    <xf numFmtId="2" fontId="32" fillId="0" borderId="0" xfId="3" applyNumberFormat="1" applyAlignment="1">
      <alignment horizontal="center"/>
    </xf>
    <xf numFmtId="2" fontId="32" fillId="0" borderId="0" xfId="3" applyNumberFormat="1"/>
    <xf numFmtId="166" fontId="32" fillId="0" borderId="0" xfId="3" applyNumberFormat="1" applyAlignment="1">
      <alignment horizontal="center" wrapText="1"/>
    </xf>
    <xf numFmtId="2" fontId="32" fillId="0" borderId="0" xfId="3" applyNumberFormat="1" applyAlignment="1">
      <alignment horizontal="center" wrapText="1"/>
    </xf>
    <xf numFmtId="0" fontId="32" fillId="0" borderId="0" xfId="3" applyFill="1"/>
    <xf numFmtId="167" fontId="33" fillId="0" borderId="0" xfId="3" applyNumberFormat="1" applyFont="1"/>
    <xf numFmtId="1" fontId="32" fillId="0" borderId="0" xfId="3" applyNumberFormat="1"/>
    <xf numFmtId="165" fontId="32" fillId="0" borderId="0" xfId="3" applyNumberFormat="1"/>
  </cellXfs>
  <cellStyles count="4">
    <cellStyle name="Currency 2" xfId="1"/>
    <cellStyle name="Normal" xfId="0" builtinId="0"/>
    <cellStyle name="Normal 2"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Salmon restock costs</a:t>
            </a:r>
          </a:p>
        </c:rich>
      </c:tx>
      <c:layout/>
      <c:overlay val="0"/>
    </c:title>
    <c:autoTitleDeleted val="0"/>
    <c:plotArea>
      <c:layout/>
      <c:lineChart>
        <c:grouping val="stacked"/>
        <c:varyColors val="0"/>
        <c:ser>
          <c:idx val="0"/>
          <c:order val="0"/>
          <c:tx>
            <c:strRef>
              <c:f>'Model '!$C$47</c:f>
              <c:strCache>
                <c:ptCount val="1"/>
                <c:pt idx="0">
                  <c:v>Cost pa</c:v>
                </c:pt>
              </c:strCache>
            </c:strRef>
          </c:tx>
          <c:spPr>
            <a:ln>
              <a:solidFill>
                <a:schemeClr val="tx1"/>
              </a:solidFill>
              <a:prstDash val="sysDash"/>
            </a:ln>
          </c:spPr>
          <c:marker>
            <c:symbol val="none"/>
          </c:marker>
          <c:val>
            <c:numRef>
              <c:f>'Model '!$C$48:$C$146</c:f>
              <c:numCache>
                <c:formatCode>"£"#,##0</c:formatCode>
                <c:ptCount val="99"/>
                <c:pt idx="0">
                  <c:v>0</c:v>
                </c:pt>
                <c:pt idx="1">
                  <c:v>1018.6116700201206</c:v>
                </c:pt>
                <c:pt idx="2">
                  <c:v>2263.5814889336016</c:v>
                </c:pt>
                <c:pt idx="3">
                  <c:v>3734.9094567404422</c:v>
                </c:pt>
                <c:pt idx="4">
                  <c:v>5432.5955734406434</c:v>
                </c:pt>
                <c:pt idx="5">
                  <c:v>7356.6398390342056</c:v>
                </c:pt>
                <c:pt idx="6">
                  <c:v>9507.0422535211255</c:v>
                </c:pt>
                <c:pt idx="7">
                  <c:v>11883.802816901409</c:v>
                </c:pt>
                <c:pt idx="8">
                  <c:v>14486.92152917505</c:v>
                </c:pt>
                <c:pt idx="9">
                  <c:v>17316.398390342052</c:v>
                </c:pt>
                <c:pt idx="10">
                  <c:v>20372.233400402416</c:v>
                </c:pt>
                <c:pt idx="11">
                  <c:v>23654.426559356136</c:v>
                </c:pt>
                <c:pt idx="12">
                  <c:v>27162.977867203219</c:v>
                </c:pt>
                <c:pt idx="13">
                  <c:v>30897.887323943658</c:v>
                </c:pt>
                <c:pt idx="14">
                  <c:v>34859.154929577468</c:v>
                </c:pt>
                <c:pt idx="15">
                  <c:v>39046.780684104626</c:v>
                </c:pt>
                <c:pt idx="16">
                  <c:v>43460.764587525147</c:v>
                </c:pt>
                <c:pt idx="17">
                  <c:v>48101.106639839032</c:v>
                </c:pt>
                <c:pt idx="18">
                  <c:v>52967.806841046273</c:v>
                </c:pt>
                <c:pt idx="19">
                  <c:v>58060.865191146877</c:v>
                </c:pt>
                <c:pt idx="20">
                  <c:v>63380.281690140844</c:v>
                </c:pt>
                <c:pt idx="21">
                  <c:v>68926.056338028167</c:v>
                </c:pt>
                <c:pt idx="22">
                  <c:v>74698.189134808854</c:v>
                </c:pt>
                <c:pt idx="23">
                  <c:v>80696.680080482896</c:v>
                </c:pt>
                <c:pt idx="24">
                  <c:v>86921.529175050295</c:v>
                </c:pt>
                <c:pt idx="25">
                  <c:v>93372.736418511064</c:v>
                </c:pt>
                <c:pt idx="26">
                  <c:v>100050.30181086517</c:v>
                </c:pt>
                <c:pt idx="27">
                  <c:v>106954.22535211267</c:v>
                </c:pt>
                <c:pt idx="28">
                  <c:v>114084.50704225352</c:v>
                </c:pt>
                <c:pt idx="29">
                  <c:v>121441.14688128771</c:v>
                </c:pt>
                <c:pt idx="30">
                  <c:v>129024.14486921529</c:v>
                </c:pt>
                <c:pt idx="31">
                  <c:v>136833.50100603621</c:v>
                </c:pt>
                <c:pt idx="32">
                  <c:v>144869.2152917505</c:v>
                </c:pt>
                <c:pt idx="33">
                  <c:v>153131.28772635816</c:v>
                </c:pt>
                <c:pt idx="34">
                  <c:v>161619.71830985913</c:v>
                </c:pt>
                <c:pt idx="35">
                  <c:v>170334.50704225351</c:v>
                </c:pt>
                <c:pt idx="36">
                  <c:v>179275.65392354122</c:v>
                </c:pt>
                <c:pt idx="37">
                  <c:v>188443.15895372233</c:v>
                </c:pt>
                <c:pt idx="38">
                  <c:v>197837.02213279676</c:v>
                </c:pt>
                <c:pt idx="39">
                  <c:v>207457.24346076458</c:v>
                </c:pt>
                <c:pt idx="40">
                  <c:v>217303.82293762575</c:v>
                </c:pt>
                <c:pt idx="41">
                  <c:v>227376.76056338026</c:v>
                </c:pt>
                <c:pt idx="42">
                  <c:v>237676.05633802814</c:v>
                </c:pt>
                <c:pt idx="43">
                  <c:v>248201.71026156942</c:v>
                </c:pt>
                <c:pt idx="44">
                  <c:v>258953.72233400401</c:v>
                </c:pt>
                <c:pt idx="45">
                  <c:v>269932.09255533194</c:v>
                </c:pt>
                <c:pt idx="46">
                  <c:v>281136.82092555333</c:v>
                </c:pt>
                <c:pt idx="47">
                  <c:v>292567.907444668</c:v>
                </c:pt>
                <c:pt idx="48">
                  <c:v>304225.35211267602</c:v>
                </c:pt>
                <c:pt idx="49">
                  <c:v>316109.15492957749</c:v>
                </c:pt>
                <c:pt idx="50">
                  <c:v>328219.31589537224</c:v>
                </c:pt>
                <c:pt idx="51">
                  <c:v>340555.83501006034</c:v>
                </c:pt>
                <c:pt idx="52">
                  <c:v>353118.71227364184</c:v>
                </c:pt>
                <c:pt idx="53">
                  <c:v>365907.94768611668</c:v>
                </c:pt>
                <c:pt idx="54">
                  <c:v>378923.54124748491</c:v>
                </c:pt>
                <c:pt idx="55">
                  <c:v>392165.49295774644</c:v>
                </c:pt>
                <c:pt idx="56">
                  <c:v>405633.80281690141</c:v>
                </c:pt>
                <c:pt idx="57">
                  <c:v>419328.47082494968</c:v>
                </c:pt>
                <c:pt idx="58">
                  <c:v>433249.49698189134</c:v>
                </c:pt>
                <c:pt idx="59">
                  <c:v>447396.88128772634</c:v>
                </c:pt>
                <c:pt idx="60">
                  <c:v>461770.62374245474</c:v>
                </c:pt>
                <c:pt idx="61">
                  <c:v>476370.72434607643</c:v>
                </c:pt>
                <c:pt idx="62">
                  <c:v>491197.18309859151</c:v>
                </c:pt>
                <c:pt idx="63">
                  <c:v>506250</c:v>
                </c:pt>
                <c:pt idx="64">
                  <c:v>521529.17505030177</c:v>
                </c:pt>
                <c:pt idx="65">
                  <c:v>537034.70824949699</c:v>
                </c:pt>
                <c:pt idx="66">
                  <c:v>552766.5995975855</c:v>
                </c:pt>
                <c:pt idx="67">
                  <c:v>568724.84909456735</c:v>
                </c:pt>
                <c:pt idx="68">
                  <c:v>584909.45674044266</c:v>
                </c:pt>
                <c:pt idx="69">
                  <c:v>601320.4225352112</c:v>
                </c:pt>
                <c:pt idx="70">
                  <c:v>617957.74647887319</c:v>
                </c:pt>
                <c:pt idx="71">
                  <c:v>634821.42857142852</c:v>
                </c:pt>
                <c:pt idx="72">
                  <c:v>651911.4688128772</c:v>
                </c:pt>
                <c:pt idx="73">
                  <c:v>669227.86720321933</c:v>
                </c:pt>
                <c:pt idx="74">
                  <c:v>686770.62374245469</c:v>
                </c:pt>
                <c:pt idx="75">
                  <c:v>704539.7384305835</c:v>
                </c:pt>
                <c:pt idx="76">
                  <c:v>722535.21126760554</c:v>
                </c:pt>
                <c:pt idx="77">
                  <c:v>740757.04225352104</c:v>
                </c:pt>
                <c:pt idx="78">
                  <c:v>759205.23138832999</c:v>
                </c:pt>
                <c:pt idx="79">
                  <c:v>777879.77867203217</c:v>
                </c:pt>
                <c:pt idx="80">
                  <c:v>796780.6841046277</c:v>
                </c:pt>
                <c:pt idx="81">
                  <c:v>815907.94768611668</c:v>
                </c:pt>
                <c:pt idx="82">
                  <c:v>835261.56941649888</c:v>
                </c:pt>
                <c:pt idx="83">
                  <c:v>854841.54929577454</c:v>
                </c:pt>
                <c:pt idx="84">
                  <c:v>874647.88732394355</c:v>
                </c:pt>
                <c:pt idx="85">
                  <c:v>894680.58350100601</c:v>
                </c:pt>
                <c:pt idx="86">
                  <c:v>914939.63782696181</c:v>
                </c:pt>
                <c:pt idx="87">
                  <c:v>935425.05030181084</c:v>
                </c:pt>
                <c:pt idx="88">
                  <c:v>956136.82092555333</c:v>
                </c:pt>
                <c:pt idx="89">
                  <c:v>977074.94969818904</c:v>
                </c:pt>
                <c:pt idx="90">
                  <c:v>998239.43661971821</c:v>
                </c:pt>
                <c:pt idx="91">
                  <c:v>1019630.2816901408</c:v>
                </c:pt>
                <c:pt idx="92">
                  <c:v>1041247.4849094568</c:v>
                </c:pt>
                <c:pt idx="93">
                  <c:v>1063091.046277666</c:v>
                </c:pt>
                <c:pt idx="94">
                  <c:v>1085160.9657947687</c:v>
                </c:pt>
                <c:pt idx="95">
                  <c:v>1107457.2434607644</c:v>
                </c:pt>
                <c:pt idx="96">
                  <c:v>1129979.8792756537</c:v>
                </c:pt>
                <c:pt idx="97">
                  <c:v>1152728.8732394364</c:v>
                </c:pt>
                <c:pt idx="98">
                  <c:v>1175704.2253521127</c:v>
                </c:pt>
              </c:numCache>
            </c:numRef>
          </c:val>
          <c:smooth val="0"/>
        </c:ser>
        <c:ser>
          <c:idx val="1"/>
          <c:order val="1"/>
          <c:tx>
            <c:strRef>
              <c:f>'Model '!$D$47</c:f>
              <c:strCache>
                <c:ptCount val="1"/>
                <c:pt idx="0">
                  <c:v>Cost cumulative</c:v>
                </c:pt>
              </c:strCache>
            </c:strRef>
          </c:tx>
          <c:spPr>
            <a:ln>
              <a:solidFill>
                <a:schemeClr val="tx1"/>
              </a:solidFill>
            </a:ln>
          </c:spPr>
          <c:marker>
            <c:symbol val="none"/>
          </c:marker>
          <c:val>
            <c:numRef>
              <c:f>'Model '!$D$48:$D$146</c:f>
              <c:numCache>
                <c:formatCode>"£"#,##0</c:formatCode>
                <c:ptCount val="99"/>
                <c:pt idx="0">
                  <c:v>0</c:v>
                </c:pt>
                <c:pt idx="1">
                  <c:v>1018.6116700201206</c:v>
                </c:pt>
                <c:pt idx="2">
                  <c:v>3282.1931589537221</c:v>
                </c:pt>
                <c:pt idx="3">
                  <c:v>7017.1026156941643</c:v>
                </c:pt>
                <c:pt idx="4">
                  <c:v>12449.698189134808</c:v>
                </c:pt>
                <c:pt idx="5">
                  <c:v>19806.338028169012</c:v>
                </c:pt>
                <c:pt idx="6">
                  <c:v>29313.380281690137</c:v>
                </c:pt>
                <c:pt idx="7">
                  <c:v>41197.183098591544</c:v>
                </c:pt>
                <c:pt idx="8">
                  <c:v>55684.104627766596</c:v>
                </c:pt>
                <c:pt idx="9">
                  <c:v>73000.503018108648</c:v>
                </c:pt>
                <c:pt idx="10">
                  <c:v>93372.736418511064</c:v>
                </c:pt>
                <c:pt idx="11">
                  <c:v>117027.16297786721</c:v>
                </c:pt>
                <c:pt idx="12">
                  <c:v>144190.14084507042</c:v>
                </c:pt>
                <c:pt idx="13">
                  <c:v>175088.02816901408</c:v>
                </c:pt>
                <c:pt idx="14">
                  <c:v>209947.18309859154</c:v>
                </c:pt>
                <c:pt idx="15">
                  <c:v>248993.96378269617</c:v>
                </c:pt>
                <c:pt idx="16">
                  <c:v>292454.72837022133</c:v>
                </c:pt>
                <c:pt idx="17">
                  <c:v>340555.83501006034</c:v>
                </c:pt>
                <c:pt idx="18">
                  <c:v>393523.6418511066</c:v>
                </c:pt>
                <c:pt idx="19">
                  <c:v>451584.50704225351</c:v>
                </c:pt>
                <c:pt idx="20">
                  <c:v>514964.78873239434</c:v>
                </c:pt>
                <c:pt idx="21">
                  <c:v>583890.84507042251</c:v>
                </c:pt>
                <c:pt idx="22">
                  <c:v>658589.03420523135</c:v>
                </c:pt>
                <c:pt idx="23">
                  <c:v>739285.7142857142</c:v>
                </c:pt>
                <c:pt idx="24">
                  <c:v>826207.24346076453</c:v>
                </c:pt>
                <c:pt idx="25">
                  <c:v>919579.97987927555</c:v>
                </c:pt>
                <c:pt idx="26">
                  <c:v>1019630.2816901407</c:v>
                </c:pt>
                <c:pt idx="27">
                  <c:v>1126584.5070422534</c:v>
                </c:pt>
                <c:pt idx="28">
                  <c:v>1240669.014084507</c:v>
                </c:pt>
                <c:pt idx="29">
                  <c:v>1362110.1609657947</c:v>
                </c:pt>
                <c:pt idx="30">
                  <c:v>1491134.30583501</c:v>
                </c:pt>
                <c:pt idx="31">
                  <c:v>1627967.8068410463</c:v>
                </c:pt>
                <c:pt idx="32">
                  <c:v>1772837.0221327967</c:v>
                </c:pt>
                <c:pt idx="33">
                  <c:v>1925968.3098591547</c:v>
                </c:pt>
                <c:pt idx="34">
                  <c:v>2087588.0281690138</c:v>
                </c:pt>
                <c:pt idx="35">
                  <c:v>2257922.5352112674</c:v>
                </c:pt>
                <c:pt idx="36">
                  <c:v>2437198.1891348087</c:v>
                </c:pt>
                <c:pt idx="37">
                  <c:v>2625641.3480885308</c:v>
                </c:pt>
                <c:pt idx="38">
                  <c:v>2823478.3702213275</c:v>
                </c:pt>
                <c:pt idx="39">
                  <c:v>3030935.6136820922</c:v>
                </c:pt>
                <c:pt idx="40">
                  <c:v>3248239.4366197181</c:v>
                </c:pt>
                <c:pt idx="41">
                  <c:v>3475616.1971830982</c:v>
                </c:pt>
                <c:pt idx="42">
                  <c:v>3713292.2535211262</c:v>
                </c:pt>
                <c:pt idx="43">
                  <c:v>3961493.9637826956</c:v>
                </c:pt>
                <c:pt idx="44">
                  <c:v>4220447.6861166991</c:v>
                </c:pt>
                <c:pt idx="45">
                  <c:v>4490379.7786720311</c:v>
                </c:pt>
                <c:pt idx="46">
                  <c:v>4771516.5995975845</c:v>
                </c:pt>
                <c:pt idx="47">
                  <c:v>5064084.5070422525</c:v>
                </c:pt>
                <c:pt idx="48">
                  <c:v>5368309.8591549285</c:v>
                </c:pt>
                <c:pt idx="49">
                  <c:v>5684419.0140845058</c:v>
                </c:pt>
                <c:pt idx="50">
                  <c:v>6012638.3299798779</c:v>
                </c:pt>
                <c:pt idx="51">
                  <c:v>6353194.164989938</c:v>
                </c:pt>
                <c:pt idx="52">
                  <c:v>6706312.8772635795</c:v>
                </c:pt>
                <c:pt idx="53">
                  <c:v>7072220.8249496967</c:v>
                </c:pt>
                <c:pt idx="54">
                  <c:v>7451144.3661971819</c:v>
                </c:pt>
                <c:pt idx="55">
                  <c:v>7843309.8591549285</c:v>
                </c:pt>
                <c:pt idx="56">
                  <c:v>8248943.6619718298</c:v>
                </c:pt>
                <c:pt idx="57">
                  <c:v>8668272.1327967793</c:v>
                </c:pt>
                <c:pt idx="58">
                  <c:v>9101521.6297786701</c:v>
                </c:pt>
                <c:pt idx="59">
                  <c:v>9548918.5110663958</c:v>
                </c:pt>
                <c:pt idx="60">
                  <c:v>10010689.134808851</c:v>
                </c:pt>
                <c:pt idx="61">
                  <c:v>10487059.859154928</c:v>
                </c:pt>
                <c:pt idx="62">
                  <c:v>10978257.04225352</c:v>
                </c:pt>
                <c:pt idx="63">
                  <c:v>11484507.04225352</c:v>
                </c:pt>
                <c:pt idx="64">
                  <c:v>12006036.217303822</c:v>
                </c:pt>
                <c:pt idx="65">
                  <c:v>12543070.925553318</c:v>
                </c:pt>
                <c:pt idx="66">
                  <c:v>13095837.525150904</c:v>
                </c:pt>
                <c:pt idx="67">
                  <c:v>13664562.374245472</c:v>
                </c:pt>
                <c:pt idx="68">
                  <c:v>14249471.830985915</c:v>
                </c:pt>
                <c:pt idx="69">
                  <c:v>14850792.253521126</c:v>
                </c:pt>
                <c:pt idx="70">
                  <c:v>15468749.999999998</c:v>
                </c:pt>
                <c:pt idx="71">
                  <c:v>16103571.428571427</c:v>
                </c:pt>
                <c:pt idx="72">
                  <c:v>16755482.897384305</c:v>
                </c:pt>
                <c:pt idx="73">
                  <c:v>17424710.764587525</c:v>
                </c:pt>
                <c:pt idx="74">
                  <c:v>18111481.388329979</c:v>
                </c:pt>
                <c:pt idx="75">
                  <c:v>18816021.126760561</c:v>
                </c:pt>
                <c:pt idx="76">
                  <c:v>19538556.338028166</c:v>
                </c:pt>
                <c:pt idx="77">
                  <c:v>20279313.380281687</c:v>
                </c:pt>
                <c:pt idx="78">
                  <c:v>21038518.611670017</c:v>
                </c:pt>
                <c:pt idx="79">
                  <c:v>21816398.390342049</c:v>
                </c:pt>
                <c:pt idx="80">
                  <c:v>22613179.074446678</c:v>
                </c:pt>
                <c:pt idx="81">
                  <c:v>23429087.022132795</c:v>
                </c:pt>
                <c:pt idx="82">
                  <c:v>24264348.591549296</c:v>
                </c:pt>
                <c:pt idx="83">
                  <c:v>25119190.140845072</c:v>
                </c:pt>
                <c:pt idx="84">
                  <c:v>25993838.028169014</c:v>
                </c:pt>
                <c:pt idx="85">
                  <c:v>26888518.611670021</c:v>
                </c:pt>
                <c:pt idx="86">
                  <c:v>27803458.249496982</c:v>
                </c:pt>
                <c:pt idx="87">
                  <c:v>28738883.299798794</c:v>
                </c:pt>
                <c:pt idx="88">
                  <c:v>29695020.120724346</c:v>
                </c:pt>
                <c:pt idx="89">
                  <c:v>30672095.070422534</c:v>
                </c:pt>
                <c:pt idx="90">
                  <c:v>31670334.507042252</c:v>
                </c:pt>
                <c:pt idx="91">
                  <c:v>32689964.788732391</c:v>
                </c:pt>
                <c:pt idx="92">
                  <c:v>33731212.273641847</c:v>
                </c:pt>
                <c:pt idx="93">
                  <c:v>34794303.319919512</c:v>
                </c:pt>
                <c:pt idx="94">
                  <c:v>35879464.285714284</c:v>
                </c:pt>
                <c:pt idx="95">
                  <c:v>36986921.529175051</c:v>
                </c:pt>
                <c:pt idx="96">
                  <c:v>38116901.408450708</c:v>
                </c:pt>
                <c:pt idx="97">
                  <c:v>39269630.281690143</c:v>
                </c:pt>
                <c:pt idx="98">
                  <c:v>40445334.507042259</c:v>
                </c:pt>
              </c:numCache>
            </c:numRef>
          </c:val>
          <c:smooth val="0"/>
        </c:ser>
        <c:dLbls>
          <c:showLegendKey val="0"/>
          <c:showVal val="0"/>
          <c:showCatName val="0"/>
          <c:showSerName val="0"/>
          <c:showPercent val="0"/>
          <c:showBubbleSize val="0"/>
        </c:dLbls>
        <c:marker val="1"/>
        <c:smooth val="0"/>
        <c:axId val="62999168"/>
        <c:axId val="63009536"/>
      </c:lineChart>
      <c:catAx>
        <c:axId val="62999168"/>
        <c:scaling>
          <c:orientation val="minMax"/>
        </c:scaling>
        <c:delete val="0"/>
        <c:axPos val="b"/>
        <c:title>
          <c:tx>
            <c:rich>
              <a:bodyPr/>
              <a:lstStyle/>
              <a:p>
                <a:pPr>
                  <a:defRPr/>
                </a:pPr>
                <a:r>
                  <a:rPr lang="en-US"/>
                  <a:t>years of population expansion</a:t>
                </a:r>
              </a:p>
            </c:rich>
          </c:tx>
          <c:layout/>
          <c:overlay val="0"/>
        </c:title>
        <c:numFmt formatCode="General" sourceLinked="1"/>
        <c:majorTickMark val="none"/>
        <c:minorTickMark val="none"/>
        <c:tickLblPos val="nextTo"/>
        <c:crossAx val="63009536"/>
        <c:crosses val="autoZero"/>
        <c:auto val="1"/>
        <c:lblAlgn val="ctr"/>
        <c:lblOffset val="100"/>
        <c:tickLblSkip val="5"/>
        <c:noMultiLvlLbl val="0"/>
      </c:catAx>
      <c:valAx>
        <c:axId val="63009536"/>
        <c:scaling>
          <c:orientation val="minMax"/>
        </c:scaling>
        <c:delete val="0"/>
        <c:axPos val="l"/>
        <c:majorGridlines/>
        <c:title>
          <c:tx>
            <c:rich>
              <a:bodyPr/>
              <a:lstStyle/>
              <a:p>
                <a:pPr>
                  <a:defRPr/>
                </a:pPr>
                <a:r>
                  <a:rPr lang="en-GB"/>
                  <a:t>cost</a:t>
                </a:r>
              </a:p>
            </c:rich>
          </c:tx>
          <c:layout/>
          <c:overlay val="0"/>
        </c:title>
        <c:numFmt formatCode="&quot;£&quot;#,##0" sourceLinked="1"/>
        <c:majorTickMark val="none"/>
        <c:minorTickMark val="none"/>
        <c:tickLblPos val="nextTo"/>
        <c:crossAx val="62999168"/>
        <c:crosses val="autoZero"/>
        <c:crossBetween val="between"/>
      </c:valAx>
    </c:plotArea>
    <c:legend>
      <c:legendPos val="r"/>
      <c:layout/>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Trout restock costs</a:t>
            </a:r>
          </a:p>
        </c:rich>
      </c:tx>
      <c:layout/>
      <c:overlay val="0"/>
    </c:title>
    <c:autoTitleDeleted val="0"/>
    <c:plotArea>
      <c:layout/>
      <c:lineChart>
        <c:grouping val="stacked"/>
        <c:varyColors val="0"/>
        <c:ser>
          <c:idx val="0"/>
          <c:order val="0"/>
          <c:tx>
            <c:strRef>
              <c:f>'Model '!$E$47</c:f>
              <c:strCache>
                <c:ptCount val="1"/>
                <c:pt idx="0">
                  <c:v>Cost pa</c:v>
                </c:pt>
              </c:strCache>
            </c:strRef>
          </c:tx>
          <c:spPr>
            <a:ln>
              <a:solidFill>
                <a:schemeClr val="tx1"/>
              </a:solidFill>
              <a:prstDash val="sysDash"/>
            </a:ln>
          </c:spPr>
          <c:marker>
            <c:symbol val="none"/>
          </c:marker>
          <c:val>
            <c:numRef>
              <c:f>'Model '!$E$48:$E$146</c:f>
              <c:numCache>
                <c:formatCode>"£"#,##0</c:formatCode>
                <c:ptCount val="99"/>
                <c:pt idx="0">
                  <c:v>0</c:v>
                </c:pt>
                <c:pt idx="1">
                  <c:v>337.5</c:v>
                </c:pt>
                <c:pt idx="2">
                  <c:v>750</c:v>
                </c:pt>
                <c:pt idx="3">
                  <c:v>1237.5</c:v>
                </c:pt>
                <c:pt idx="4">
                  <c:v>1800</c:v>
                </c:pt>
                <c:pt idx="5">
                  <c:v>2437.5</c:v>
                </c:pt>
                <c:pt idx="6">
                  <c:v>3150</c:v>
                </c:pt>
                <c:pt idx="7">
                  <c:v>3937.5</c:v>
                </c:pt>
                <c:pt idx="8">
                  <c:v>4800</c:v>
                </c:pt>
                <c:pt idx="9">
                  <c:v>5737.5</c:v>
                </c:pt>
                <c:pt idx="10">
                  <c:v>6750</c:v>
                </c:pt>
                <c:pt idx="11">
                  <c:v>7837.5</c:v>
                </c:pt>
                <c:pt idx="12">
                  <c:v>9000</c:v>
                </c:pt>
                <c:pt idx="13">
                  <c:v>10237.5</c:v>
                </c:pt>
                <c:pt idx="14">
                  <c:v>11550</c:v>
                </c:pt>
                <c:pt idx="15">
                  <c:v>12937.5</c:v>
                </c:pt>
                <c:pt idx="16">
                  <c:v>14400</c:v>
                </c:pt>
                <c:pt idx="17">
                  <c:v>15937.5</c:v>
                </c:pt>
                <c:pt idx="18">
                  <c:v>17550</c:v>
                </c:pt>
                <c:pt idx="19">
                  <c:v>19237.5</c:v>
                </c:pt>
                <c:pt idx="20">
                  <c:v>21000</c:v>
                </c:pt>
                <c:pt idx="21">
                  <c:v>22837.5</c:v>
                </c:pt>
                <c:pt idx="22">
                  <c:v>24750</c:v>
                </c:pt>
                <c:pt idx="23">
                  <c:v>26737.5</c:v>
                </c:pt>
                <c:pt idx="24">
                  <c:v>28800</c:v>
                </c:pt>
                <c:pt idx="25">
                  <c:v>30937.5</c:v>
                </c:pt>
                <c:pt idx="26">
                  <c:v>33150</c:v>
                </c:pt>
                <c:pt idx="27">
                  <c:v>35437.5</c:v>
                </c:pt>
                <c:pt idx="28">
                  <c:v>37800</c:v>
                </c:pt>
                <c:pt idx="29">
                  <c:v>40237.5</c:v>
                </c:pt>
                <c:pt idx="30">
                  <c:v>42750</c:v>
                </c:pt>
                <c:pt idx="31">
                  <c:v>45337.5</c:v>
                </c:pt>
                <c:pt idx="32">
                  <c:v>48000</c:v>
                </c:pt>
                <c:pt idx="33">
                  <c:v>50737.5</c:v>
                </c:pt>
                <c:pt idx="34">
                  <c:v>53550</c:v>
                </c:pt>
                <c:pt idx="35">
                  <c:v>56437.5</c:v>
                </c:pt>
                <c:pt idx="36">
                  <c:v>59400</c:v>
                </c:pt>
                <c:pt idx="37">
                  <c:v>62437.5</c:v>
                </c:pt>
                <c:pt idx="38">
                  <c:v>65550</c:v>
                </c:pt>
                <c:pt idx="39">
                  <c:v>68737.5</c:v>
                </c:pt>
                <c:pt idx="40">
                  <c:v>72000</c:v>
                </c:pt>
                <c:pt idx="41">
                  <c:v>75337.5</c:v>
                </c:pt>
                <c:pt idx="42">
                  <c:v>78750</c:v>
                </c:pt>
                <c:pt idx="43">
                  <c:v>82237.5</c:v>
                </c:pt>
                <c:pt idx="44">
                  <c:v>85800</c:v>
                </c:pt>
                <c:pt idx="45">
                  <c:v>89437.5</c:v>
                </c:pt>
                <c:pt idx="46">
                  <c:v>93150</c:v>
                </c:pt>
                <c:pt idx="47">
                  <c:v>96937.5</c:v>
                </c:pt>
                <c:pt idx="48">
                  <c:v>100800</c:v>
                </c:pt>
                <c:pt idx="49">
                  <c:v>104737.5</c:v>
                </c:pt>
                <c:pt idx="50">
                  <c:v>108750</c:v>
                </c:pt>
                <c:pt idx="51">
                  <c:v>112837.5</c:v>
                </c:pt>
                <c:pt idx="52">
                  <c:v>117000</c:v>
                </c:pt>
                <c:pt idx="53">
                  <c:v>121237.5</c:v>
                </c:pt>
                <c:pt idx="54">
                  <c:v>125550</c:v>
                </c:pt>
                <c:pt idx="55">
                  <c:v>129937.5</c:v>
                </c:pt>
                <c:pt idx="56">
                  <c:v>134400</c:v>
                </c:pt>
                <c:pt idx="57">
                  <c:v>138937.5</c:v>
                </c:pt>
                <c:pt idx="58">
                  <c:v>143550</c:v>
                </c:pt>
                <c:pt idx="59">
                  <c:v>148237.5</c:v>
                </c:pt>
                <c:pt idx="60">
                  <c:v>153000</c:v>
                </c:pt>
                <c:pt idx="61">
                  <c:v>157837.5</c:v>
                </c:pt>
                <c:pt idx="62">
                  <c:v>162750</c:v>
                </c:pt>
                <c:pt idx="63">
                  <c:v>167737.5</c:v>
                </c:pt>
                <c:pt idx="64">
                  <c:v>172800</c:v>
                </c:pt>
                <c:pt idx="65">
                  <c:v>177937.5</c:v>
                </c:pt>
                <c:pt idx="66">
                  <c:v>183150</c:v>
                </c:pt>
                <c:pt idx="67">
                  <c:v>188437.5</c:v>
                </c:pt>
                <c:pt idx="68">
                  <c:v>193800</c:v>
                </c:pt>
                <c:pt idx="69">
                  <c:v>199237.5</c:v>
                </c:pt>
                <c:pt idx="70">
                  <c:v>204750</c:v>
                </c:pt>
                <c:pt idx="71">
                  <c:v>210337.5</c:v>
                </c:pt>
                <c:pt idx="72">
                  <c:v>216000</c:v>
                </c:pt>
                <c:pt idx="73">
                  <c:v>221737.5</c:v>
                </c:pt>
                <c:pt idx="74">
                  <c:v>227550</c:v>
                </c:pt>
                <c:pt idx="75">
                  <c:v>233437.5</c:v>
                </c:pt>
                <c:pt idx="76">
                  <c:v>239400</c:v>
                </c:pt>
                <c:pt idx="77">
                  <c:v>245437.5</c:v>
                </c:pt>
                <c:pt idx="78">
                  <c:v>251550</c:v>
                </c:pt>
                <c:pt idx="79">
                  <c:v>257737.5</c:v>
                </c:pt>
                <c:pt idx="80">
                  <c:v>264000</c:v>
                </c:pt>
                <c:pt idx="81">
                  <c:v>270337.5</c:v>
                </c:pt>
                <c:pt idx="82">
                  <c:v>276750</c:v>
                </c:pt>
                <c:pt idx="83">
                  <c:v>283237.5</c:v>
                </c:pt>
                <c:pt idx="84">
                  <c:v>289800</c:v>
                </c:pt>
                <c:pt idx="85">
                  <c:v>296437.5</c:v>
                </c:pt>
                <c:pt idx="86">
                  <c:v>303150</c:v>
                </c:pt>
                <c:pt idx="87">
                  <c:v>309937.5</c:v>
                </c:pt>
                <c:pt idx="88">
                  <c:v>316800</c:v>
                </c:pt>
                <c:pt idx="89">
                  <c:v>323737.5</c:v>
                </c:pt>
                <c:pt idx="90">
                  <c:v>330750</c:v>
                </c:pt>
                <c:pt idx="91">
                  <c:v>337837.5</c:v>
                </c:pt>
                <c:pt idx="92">
                  <c:v>345000</c:v>
                </c:pt>
                <c:pt idx="93">
                  <c:v>352237.5</c:v>
                </c:pt>
                <c:pt idx="94">
                  <c:v>359550</c:v>
                </c:pt>
                <c:pt idx="95">
                  <c:v>366937.5</c:v>
                </c:pt>
                <c:pt idx="96">
                  <c:v>374400</c:v>
                </c:pt>
                <c:pt idx="97">
                  <c:v>381937.5</c:v>
                </c:pt>
                <c:pt idx="98">
                  <c:v>389550</c:v>
                </c:pt>
              </c:numCache>
            </c:numRef>
          </c:val>
          <c:smooth val="0"/>
        </c:ser>
        <c:ser>
          <c:idx val="1"/>
          <c:order val="1"/>
          <c:tx>
            <c:strRef>
              <c:f>'Model '!$F$47</c:f>
              <c:strCache>
                <c:ptCount val="1"/>
                <c:pt idx="0">
                  <c:v>Cost cumulative</c:v>
                </c:pt>
              </c:strCache>
            </c:strRef>
          </c:tx>
          <c:spPr>
            <a:ln>
              <a:solidFill>
                <a:schemeClr val="tx1"/>
              </a:solidFill>
            </a:ln>
          </c:spPr>
          <c:marker>
            <c:symbol val="none"/>
          </c:marker>
          <c:val>
            <c:numRef>
              <c:f>'Model '!$F$48:$F$146</c:f>
              <c:numCache>
                <c:formatCode>"£"#,##0</c:formatCode>
                <c:ptCount val="99"/>
                <c:pt idx="0">
                  <c:v>0</c:v>
                </c:pt>
                <c:pt idx="1">
                  <c:v>337.5</c:v>
                </c:pt>
                <c:pt idx="2">
                  <c:v>1087.5</c:v>
                </c:pt>
                <c:pt idx="3">
                  <c:v>2325</c:v>
                </c:pt>
                <c:pt idx="4">
                  <c:v>4125</c:v>
                </c:pt>
                <c:pt idx="5">
                  <c:v>6562.5</c:v>
                </c:pt>
                <c:pt idx="6">
                  <c:v>9712.5</c:v>
                </c:pt>
                <c:pt idx="7">
                  <c:v>13650</c:v>
                </c:pt>
                <c:pt idx="8">
                  <c:v>18450</c:v>
                </c:pt>
                <c:pt idx="9">
                  <c:v>24187.5</c:v>
                </c:pt>
                <c:pt idx="10">
                  <c:v>30937.5</c:v>
                </c:pt>
                <c:pt idx="11">
                  <c:v>38775</c:v>
                </c:pt>
                <c:pt idx="12">
                  <c:v>47775</c:v>
                </c:pt>
                <c:pt idx="13">
                  <c:v>58012.5</c:v>
                </c:pt>
                <c:pt idx="14">
                  <c:v>69562.5</c:v>
                </c:pt>
                <c:pt idx="15">
                  <c:v>82500</c:v>
                </c:pt>
                <c:pt idx="16">
                  <c:v>96900</c:v>
                </c:pt>
                <c:pt idx="17">
                  <c:v>112837.5</c:v>
                </c:pt>
                <c:pt idx="18">
                  <c:v>130387.5</c:v>
                </c:pt>
                <c:pt idx="19">
                  <c:v>149625</c:v>
                </c:pt>
                <c:pt idx="20">
                  <c:v>170625</c:v>
                </c:pt>
                <c:pt idx="21">
                  <c:v>193462.5</c:v>
                </c:pt>
                <c:pt idx="22">
                  <c:v>218212.5</c:v>
                </c:pt>
                <c:pt idx="23">
                  <c:v>244950</c:v>
                </c:pt>
                <c:pt idx="24">
                  <c:v>273750</c:v>
                </c:pt>
                <c:pt idx="25">
                  <c:v>304687.5</c:v>
                </c:pt>
                <c:pt idx="26">
                  <c:v>337837.5</c:v>
                </c:pt>
                <c:pt idx="27">
                  <c:v>373275</c:v>
                </c:pt>
                <c:pt idx="28">
                  <c:v>411075</c:v>
                </c:pt>
                <c:pt idx="29">
                  <c:v>451312.5</c:v>
                </c:pt>
                <c:pt idx="30">
                  <c:v>494062.5</c:v>
                </c:pt>
                <c:pt idx="31">
                  <c:v>539400</c:v>
                </c:pt>
                <c:pt idx="32">
                  <c:v>587400</c:v>
                </c:pt>
                <c:pt idx="33">
                  <c:v>638137.5</c:v>
                </c:pt>
                <c:pt idx="34">
                  <c:v>691687.5</c:v>
                </c:pt>
                <c:pt idx="35">
                  <c:v>748125</c:v>
                </c:pt>
                <c:pt idx="36">
                  <c:v>807525</c:v>
                </c:pt>
                <c:pt idx="37">
                  <c:v>869962.5</c:v>
                </c:pt>
                <c:pt idx="38">
                  <c:v>935512.5</c:v>
                </c:pt>
                <c:pt idx="39">
                  <c:v>1004250</c:v>
                </c:pt>
                <c:pt idx="40">
                  <c:v>1076250</c:v>
                </c:pt>
                <c:pt idx="41">
                  <c:v>1151587.5</c:v>
                </c:pt>
                <c:pt idx="42">
                  <c:v>1230337.5</c:v>
                </c:pt>
                <c:pt idx="43">
                  <c:v>1312575</c:v>
                </c:pt>
                <c:pt idx="44">
                  <c:v>1398375</c:v>
                </c:pt>
                <c:pt idx="45">
                  <c:v>1487812.5</c:v>
                </c:pt>
                <c:pt idx="46">
                  <c:v>1580962.5</c:v>
                </c:pt>
                <c:pt idx="47">
                  <c:v>1677900</c:v>
                </c:pt>
                <c:pt idx="48">
                  <c:v>1778700</c:v>
                </c:pt>
                <c:pt idx="49">
                  <c:v>1883437.5</c:v>
                </c:pt>
                <c:pt idx="50">
                  <c:v>1992187.5</c:v>
                </c:pt>
                <c:pt idx="51">
                  <c:v>2105025</c:v>
                </c:pt>
                <c:pt idx="52">
                  <c:v>2222025</c:v>
                </c:pt>
                <c:pt idx="53">
                  <c:v>2343262.5</c:v>
                </c:pt>
                <c:pt idx="54">
                  <c:v>2468812.5</c:v>
                </c:pt>
                <c:pt idx="55">
                  <c:v>2598750</c:v>
                </c:pt>
                <c:pt idx="56">
                  <c:v>2733150</c:v>
                </c:pt>
                <c:pt idx="57">
                  <c:v>2872087.5</c:v>
                </c:pt>
                <c:pt idx="58">
                  <c:v>3015637.5</c:v>
                </c:pt>
                <c:pt idx="59">
                  <c:v>3163875</c:v>
                </c:pt>
                <c:pt idx="60">
                  <c:v>3316875</c:v>
                </c:pt>
                <c:pt idx="61">
                  <c:v>3474712.5</c:v>
                </c:pt>
                <c:pt idx="62">
                  <c:v>3637462.5</c:v>
                </c:pt>
                <c:pt idx="63">
                  <c:v>3805200</c:v>
                </c:pt>
                <c:pt idx="64">
                  <c:v>3978000</c:v>
                </c:pt>
                <c:pt idx="65">
                  <c:v>4155937.5</c:v>
                </c:pt>
                <c:pt idx="66">
                  <c:v>4339087.5</c:v>
                </c:pt>
                <c:pt idx="67">
                  <c:v>4527525</c:v>
                </c:pt>
                <c:pt idx="68">
                  <c:v>4721325</c:v>
                </c:pt>
                <c:pt idx="69">
                  <c:v>4920562.5</c:v>
                </c:pt>
                <c:pt idx="70">
                  <c:v>5125312.5</c:v>
                </c:pt>
                <c:pt idx="71">
                  <c:v>5335650</c:v>
                </c:pt>
                <c:pt idx="72">
                  <c:v>5551650</c:v>
                </c:pt>
                <c:pt idx="73">
                  <c:v>5773387.5</c:v>
                </c:pt>
                <c:pt idx="74">
                  <c:v>6000937.5</c:v>
                </c:pt>
                <c:pt idx="75">
                  <c:v>6234375</c:v>
                </c:pt>
                <c:pt idx="76">
                  <c:v>6473775</c:v>
                </c:pt>
                <c:pt idx="77">
                  <c:v>6719212.5</c:v>
                </c:pt>
                <c:pt idx="78">
                  <c:v>6970762.5</c:v>
                </c:pt>
                <c:pt idx="79">
                  <c:v>7228500</c:v>
                </c:pt>
                <c:pt idx="80">
                  <c:v>7492500</c:v>
                </c:pt>
                <c:pt idx="81">
                  <c:v>7762837.5</c:v>
                </c:pt>
                <c:pt idx="82">
                  <c:v>8039587.5</c:v>
                </c:pt>
                <c:pt idx="83">
                  <c:v>8322825</c:v>
                </c:pt>
                <c:pt idx="84">
                  <c:v>8612625</c:v>
                </c:pt>
                <c:pt idx="85">
                  <c:v>8909062.5</c:v>
                </c:pt>
                <c:pt idx="86">
                  <c:v>9212212.5</c:v>
                </c:pt>
                <c:pt idx="87">
                  <c:v>9522150</c:v>
                </c:pt>
                <c:pt idx="88">
                  <c:v>9838950</c:v>
                </c:pt>
                <c:pt idx="89">
                  <c:v>10162687.5</c:v>
                </c:pt>
                <c:pt idx="90">
                  <c:v>10493437.5</c:v>
                </c:pt>
                <c:pt idx="91">
                  <c:v>10831275</c:v>
                </c:pt>
                <c:pt idx="92">
                  <c:v>11176275</c:v>
                </c:pt>
                <c:pt idx="93">
                  <c:v>11528512.5</c:v>
                </c:pt>
                <c:pt idx="94">
                  <c:v>11888062.5</c:v>
                </c:pt>
                <c:pt idx="95">
                  <c:v>12255000</c:v>
                </c:pt>
                <c:pt idx="96">
                  <c:v>12629400</c:v>
                </c:pt>
                <c:pt idx="97">
                  <c:v>13011337.5</c:v>
                </c:pt>
                <c:pt idx="98">
                  <c:v>13400887.5</c:v>
                </c:pt>
              </c:numCache>
            </c:numRef>
          </c:val>
          <c:smooth val="0"/>
        </c:ser>
        <c:dLbls>
          <c:showLegendKey val="0"/>
          <c:showVal val="0"/>
          <c:showCatName val="0"/>
          <c:showSerName val="0"/>
          <c:showPercent val="0"/>
          <c:showBubbleSize val="0"/>
        </c:dLbls>
        <c:marker val="1"/>
        <c:smooth val="0"/>
        <c:axId val="63029632"/>
        <c:axId val="63031552"/>
      </c:lineChart>
      <c:catAx>
        <c:axId val="63029632"/>
        <c:scaling>
          <c:orientation val="minMax"/>
        </c:scaling>
        <c:delete val="0"/>
        <c:axPos val="b"/>
        <c:title>
          <c:tx>
            <c:rich>
              <a:bodyPr/>
              <a:lstStyle/>
              <a:p>
                <a:pPr>
                  <a:defRPr/>
                </a:pPr>
                <a:r>
                  <a:rPr lang="en-US"/>
                  <a:t>years of population expansion</a:t>
                </a:r>
              </a:p>
            </c:rich>
          </c:tx>
          <c:layout/>
          <c:overlay val="0"/>
        </c:title>
        <c:numFmt formatCode="General" sourceLinked="1"/>
        <c:majorTickMark val="none"/>
        <c:minorTickMark val="none"/>
        <c:tickLblPos val="nextTo"/>
        <c:crossAx val="63031552"/>
        <c:crosses val="autoZero"/>
        <c:auto val="1"/>
        <c:lblAlgn val="ctr"/>
        <c:lblOffset val="100"/>
        <c:tickLblSkip val="5"/>
        <c:noMultiLvlLbl val="0"/>
      </c:catAx>
      <c:valAx>
        <c:axId val="63031552"/>
        <c:scaling>
          <c:orientation val="minMax"/>
          <c:max val="100000000"/>
        </c:scaling>
        <c:delete val="0"/>
        <c:axPos val="l"/>
        <c:majorGridlines/>
        <c:title>
          <c:tx>
            <c:rich>
              <a:bodyPr/>
              <a:lstStyle/>
              <a:p>
                <a:pPr>
                  <a:defRPr/>
                </a:pPr>
                <a:r>
                  <a:rPr lang="en-GB"/>
                  <a:t>cost</a:t>
                </a:r>
              </a:p>
            </c:rich>
          </c:tx>
          <c:layout/>
          <c:overlay val="0"/>
        </c:title>
        <c:numFmt formatCode="&quot;£&quot;#,##0" sourceLinked="1"/>
        <c:majorTickMark val="none"/>
        <c:minorTickMark val="none"/>
        <c:tickLblPos val="nextTo"/>
        <c:crossAx val="63029632"/>
        <c:crosses val="autoZero"/>
        <c:crossBetween val="between"/>
      </c:valAx>
    </c:plotArea>
    <c:legend>
      <c:legendPos val="r"/>
      <c:layout/>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discounting factor 1.5%</c:v>
          </c:tx>
          <c:marker>
            <c:symbol val="none"/>
          </c:marker>
          <c:cat>
            <c:numRef>
              <c:f>'Model '!$B$48:$B$148</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'Model '!$I$48:$I$148</c:f>
              <c:numCache>
                <c:formatCode>"£"#,##0</c:formatCode>
                <c:ptCount val="101"/>
                <c:pt idx="0">
                  <c:v>0</c:v>
                </c:pt>
                <c:pt idx="1">
                  <c:v>1003.5582955863258</c:v>
                </c:pt>
                <c:pt idx="2">
                  <c:v>2197.1719662535875</c:v>
                </c:pt>
                <c:pt idx="3">
                  <c:v>3571.757383564945</c:v>
                </c:pt>
                <c:pt idx="4">
                  <c:v>5118.5058788212391</c:v>
                </c:pt>
                <c:pt idx="5">
                  <c:v>6828.8768908739867</c:v>
                </c:pt>
                <c:pt idx="6">
                  <c:v>8694.5912668952624</c:v>
                </c:pt>
                <c:pt idx="7">
                  <c:v>10707.624712925202</c:v>
                </c:pt>
                <c:pt idx="8">
                  <c:v>12860.201391080704</c:v>
                </c:pt>
                <c:pt idx="9">
                  <c:v>15144.787660370595</c:v>
                </c:pt>
                <c:pt idx="10">
                  <c:v>17554.085958122978</c:v>
                </c:pt>
                <c:pt idx="11">
                  <c:v>20081.028819089777</c:v>
                </c:pt>
                <c:pt idx="12">
                  <c:v>22718.773029351818</c:v>
                </c:pt>
                <c:pt idx="13">
                  <c:v>25460.693912204621</c:v>
                </c:pt>
                <c:pt idx="14">
                  <c:v>28300.379743261434</c:v>
                </c:pt>
                <c:pt idx="15">
                  <c:v>31231.626292064469</c:v>
                </c:pt>
                <c:pt idx="16">
                  <c:v>34248.431487549817</c:v>
                </c:pt>
                <c:pt idx="17">
                  <c:v>37344.990204763635</c:v>
                </c:pt>
                <c:pt idx="18">
                  <c:v>40515.689170279649</c:v>
                </c:pt>
                <c:pt idx="19">
                  <c:v>43755.101983818495</c:v>
                </c:pt>
                <c:pt idx="20">
                  <c:v>47057.984253619426</c:v>
                </c:pt>
                <c:pt idx="21">
                  <c:v>50419.268843163671</c:v>
                </c:pt>
                <c:pt idx="22">
                  <c:v>53834.061226897087</c:v>
                </c:pt>
                <c:pt idx="23">
                  <c:v>57297.634952646105</c:v>
                </c:pt>
                <c:pt idx="24">
                  <c:v>60805.427208467954</c:v>
                </c:pt>
                <c:pt idx="25">
                  <c:v>64353.034491720631</c:v>
                </c:pt>
                <c:pt idx="26">
                  <c:v>67936.208378183059</c:v>
                </c:pt>
                <c:pt idx="27">
                  <c:v>71550.851389099029</c:v>
                </c:pt>
                <c:pt idx="28">
                  <c:v>75193.012954061414</c:v>
                </c:pt>
                <c:pt idx="29">
                  <c:v>78858.885467694781</c:v>
                </c:pt>
                <c:pt idx="30">
                  <c:v>82544.800438136328</c:v>
                </c:pt>
                <c:pt idx="31">
                  <c:v>86247.22472535375</c:v>
                </c:pt>
                <c:pt idx="32">
                  <c:v>89962.756867380376</c:v>
                </c:pt>
                <c:pt idx="33">
                  <c:v>93688.123492584418</c:v>
                </c:pt>
                <c:pt idx="34">
                  <c:v>97420.175816128758</c:v>
                </c:pt>
                <c:pt idx="35">
                  <c:v>101155.88621881428</c:v>
                </c:pt>
                <c:pt idx="36">
                  <c:v>104892.34490653608</c:v>
                </c:pt>
                <c:pt idx="37">
                  <c:v>108626.75664861834</c:v>
                </c:pt>
                <c:pt idx="38">
                  <c:v>112356.43759332821</c:v>
                </c:pt>
                <c:pt idx="39">
                  <c:v>116078.81215890402</c:v>
                </c:pt>
                <c:pt idx="40">
                  <c:v>119791.40999846585</c:v>
                </c:pt>
                <c:pt idx="41">
                  <c:v>123491.86303721157</c:v>
                </c:pt>
                <c:pt idx="42">
                  <c:v>127177.90258033152</c:v>
                </c:pt>
                <c:pt idx="43">
                  <c:v>130847.35649010888</c:v>
                </c:pt>
                <c:pt idx="44">
                  <c:v>134498.14643070279</c:v>
                </c:pt>
                <c:pt idx="45">
                  <c:v>138128.28517914246</c:v>
                </c:pt>
                <c:pt idx="46">
                  <c:v>141735.87400109059</c:v>
                </c:pt>
                <c:pt idx="47">
                  <c:v>145319.10008996262</c:v>
                </c:pt>
                <c:pt idx="48">
                  <c:v>148876.23406802013</c:v>
                </c:pt>
                <c:pt idx="49">
                  <c:v>152405.62754808104</c:v>
                </c:pt>
                <c:pt idx="50">
                  <c:v>155905.71075452</c:v>
                </c:pt>
                <c:pt idx="51">
                  <c:v>159374.99020225945</c:v>
                </c:pt>
                <c:pt idx="52">
                  <c:v>162812.04643247585</c:v>
                </c:pt>
                <c:pt idx="53">
                  <c:v>166215.53180377494</c:v>
                </c:pt>
                <c:pt idx="54">
                  <c:v>169584.16833761401</c:v>
                </c:pt>
                <c:pt idx="55">
                  <c:v>172916.74561677361</c:v>
                </c:pt>
                <c:pt idx="56">
                  <c:v>176212.11873570803</c:v>
                </c:pt>
                <c:pt idx="57">
                  <c:v>179469.20630162471</c:v>
                </c:pt>
                <c:pt idx="58">
                  <c:v>182686.98848517038</c:v>
                </c:pt>
                <c:pt idx="59">
                  <c:v>185864.50511962117</c:v>
                </c:pt>
                <c:pt idx="60">
                  <c:v>189000.85384749994</c:v>
                </c:pt>
                <c:pt idx="61">
                  <c:v>192095.18831356298</c:v>
                </c:pt>
                <c:pt idx="62">
                  <c:v>195146.7164031248</c:v>
                </c:pt>
                <c:pt idx="63">
                  <c:v>198154.69852470487</c:v>
                </c:pt>
                <c:pt idx="64">
                  <c:v>201118.44593600795</c:v>
                </c:pt>
                <c:pt idx="65">
                  <c:v>204037.31911226522</c:v>
                </c:pt>
                <c:pt idx="66">
                  <c:v>206910.7261559855</c:v>
                </c:pt>
                <c:pt idx="67">
                  <c:v>209738.12124718638</c:v>
                </c:pt>
                <c:pt idx="68">
                  <c:v>212519.00313319307</c:v>
                </c:pt>
                <c:pt idx="69">
                  <c:v>215252.91365711211</c:v>
                </c:pt>
                <c:pt idx="70">
                  <c:v>217939.4363241074</c:v>
                </c:pt>
                <c:pt idx="71">
                  <c:v>220578.1949046209</c:v>
                </c:pt>
                <c:pt idx="72">
                  <c:v>223168.8520737022</c:v>
                </c:pt>
                <c:pt idx="73">
                  <c:v>225711.10808562557</c:v>
                </c:pt>
                <c:pt idx="74">
                  <c:v>228204.69948299206</c:v>
                </c:pt>
                <c:pt idx="75">
                  <c:v>230649.3978395306</c:v>
                </c:pt>
                <c:pt idx="76">
                  <c:v>233045.00853582824</c:v>
                </c:pt>
                <c:pt idx="77">
                  <c:v>235391.3695672364</c:v>
                </c:pt>
                <c:pt idx="78">
                  <c:v>237688.3503832162</c:v>
                </c:pt>
                <c:pt idx="79">
                  <c:v>239935.85075739949</c:v>
                </c:pt>
                <c:pt idx="80">
                  <c:v>242133.79968766088</c:v>
                </c:pt>
                <c:pt idx="81">
                  <c:v>244282.15432550764</c:v>
                </c:pt>
                <c:pt idx="82">
                  <c:v>246380.89893411103</c:v>
                </c:pt>
                <c:pt idx="83">
                  <c:v>248430.04387431627</c:v>
                </c:pt>
                <c:pt idx="84">
                  <c:v>250429.62461798254</c:v>
                </c:pt>
                <c:pt idx="85">
                  <c:v>252379.70078801829</c:v>
                </c:pt>
                <c:pt idx="86">
                  <c:v>254280.35522449037</c:v>
                </c:pt>
                <c:pt idx="87">
                  <c:v>256131.69307619907</c:v>
                </c:pt>
                <c:pt idx="88">
                  <c:v>257933.84091712398</c:v>
                </c:pt>
                <c:pt idx="89">
                  <c:v>259686.94588715796</c:v>
                </c:pt>
                <c:pt idx="90">
                  <c:v>261391.17485656007</c:v>
                </c:pt>
                <c:pt idx="91">
                  <c:v>263046.71361356857</c:v>
                </c:pt>
                <c:pt idx="92">
                  <c:v>264653.7660746295</c:v>
                </c:pt>
                <c:pt idx="93">
                  <c:v>266212.55351670535</c:v>
                </c:pt>
                <c:pt idx="94">
                  <c:v>267723.31383114372</c:v>
                </c:pt>
                <c:pt idx="95">
                  <c:v>269186.30079859064</c:v>
                </c:pt>
                <c:pt idx="96">
                  <c:v>270601.78338445339</c:v>
                </c:pt>
                <c:pt idx="97">
                  <c:v>271970.04505441798</c:v>
                </c:pt>
                <c:pt idx="98">
                  <c:v>273291.38310954673</c:v>
                </c:pt>
                <c:pt idx="99">
                  <c:v>274566.10804048518</c:v>
                </c:pt>
                <c:pt idx="100">
                  <c:v>275794.54290032043</c:v>
                </c:pt>
              </c:numCache>
            </c:numRef>
          </c:val>
          <c:smooth val="0"/>
        </c:ser>
        <c:ser>
          <c:idx val="1"/>
          <c:order val="1"/>
          <c:tx>
            <c:v>discounting factor 0%</c:v>
          </c:tx>
          <c:marker>
            <c:symbol val="none"/>
          </c:marker>
          <c:val>
            <c:numRef>
              <c:f>'Model '!$C$48:$C$148</c:f>
              <c:numCache>
                <c:formatCode>"£"#,##0</c:formatCode>
                <c:ptCount val="101"/>
                <c:pt idx="0">
                  <c:v>0</c:v>
                </c:pt>
                <c:pt idx="1">
                  <c:v>1018.6116700201206</c:v>
                </c:pt>
                <c:pt idx="2">
                  <c:v>2263.5814889336016</c:v>
                </c:pt>
                <c:pt idx="3">
                  <c:v>3734.9094567404422</c:v>
                </c:pt>
                <c:pt idx="4">
                  <c:v>5432.5955734406434</c:v>
                </c:pt>
                <c:pt idx="5">
                  <c:v>7356.6398390342056</c:v>
                </c:pt>
                <c:pt idx="6">
                  <c:v>9507.0422535211255</c:v>
                </c:pt>
                <c:pt idx="7">
                  <c:v>11883.802816901409</c:v>
                </c:pt>
                <c:pt idx="8">
                  <c:v>14486.92152917505</c:v>
                </c:pt>
                <c:pt idx="9">
                  <c:v>17316.398390342052</c:v>
                </c:pt>
                <c:pt idx="10">
                  <c:v>20372.233400402416</c:v>
                </c:pt>
                <c:pt idx="11">
                  <c:v>23654.426559356136</c:v>
                </c:pt>
                <c:pt idx="12">
                  <c:v>27162.977867203219</c:v>
                </c:pt>
                <c:pt idx="13">
                  <c:v>30897.887323943658</c:v>
                </c:pt>
                <c:pt idx="14">
                  <c:v>34859.154929577468</c:v>
                </c:pt>
                <c:pt idx="15">
                  <c:v>39046.780684104626</c:v>
                </c:pt>
                <c:pt idx="16">
                  <c:v>43460.764587525147</c:v>
                </c:pt>
                <c:pt idx="17">
                  <c:v>48101.106639839032</c:v>
                </c:pt>
                <c:pt idx="18">
                  <c:v>52967.806841046273</c:v>
                </c:pt>
                <c:pt idx="19">
                  <c:v>58060.865191146877</c:v>
                </c:pt>
                <c:pt idx="20">
                  <c:v>63380.281690140844</c:v>
                </c:pt>
                <c:pt idx="21">
                  <c:v>68926.056338028167</c:v>
                </c:pt>
                <c:pt idx="22">
                  <c:v>74698.189134808854</c:v>
                </c:pt>
                <c:pt idx="23">
                  <c:v>80696.680080482896</c:v>
                </c:pt>
                <c:pt idx="24">
                  <c:v>86921.529175050295</c:v>
                </c:pt>
                <c:pt idx="25">
                  <c:v>93372.736418511064</c:v>
                </c:pt>
                <c:pt idx="26">
                  <c:v>100050.30181086517</c:v>
                </c:pt>
                <c:pt idx="27">
                  <c:v>106954.22535211267</c:v>
                </c:pt>
                <c:pt idx="28">
                  <c:v>114084.50704225352</c:v>
                </c:pt>
                <c:pt idx="29">
                  <c:v>121441.14688128771</c:v>
                </c:pt>
                <c:pt idx="30">
                  <c:v>129024.14486921529</c:v>
                </c:pt>
                <c:pt idx="31">
                  <c:v>136833.50100603621</c:v>
                </c:pt>
                <c:pt idx="32">
                  <c:v>144869.2152917505</c:v>
                </c:pt>
                <c:pt idx="33">
                  <c:v>153131.28772635816</c:v>
                </c:pt>
                <c:pt idx="34">
                  <c:v>161619.71830985913</c:v>
                </c:pt>
                <c:pt idx="35">
                  <c:v>170334.50704225351</c:v>
                </c:pt>
                <c:pt idx="36">
                  <c:v>179275.65392354122</c:v>
                </c:pt>
                <c:pt idx="37">
                  <c:v>188443.15895372233</c:v>
                </c:pt>
                <c:pt idx="38">
                  <c:v>197837.02213279676</c:v>
                </c:pt>
                <c:pt idx="39">
                  <c:v>207457.24346076458</c:v>
                </c:pt>
                <c:pt idx="40">
                  <c:v>217303.82293762575</c:v>
                </c:pt>
                <c:pt idx="41">
                  <c:v>227376.76056338026</c:v>
                </c:pt>
                <c:pt idx="42">
                  <c:v>237676.05633802814</c:v>
                </c:pt>
                <c:pt idx="43">
                  <c:v>248201.71026156942</c:v>
                </c:pt>
                <c:pt idx="44">
                  <c:v>258953.72233400401</c:v>
                </c:pt>
                <c:pt idx="45">
                  <c:v>269932.09255533194</c:v>
                </c:pt>
                <c:pt idx="46">
                  <c:v>281136.82092555333</c:v>
                </c:pt>
                <c:pt idx="47">
                  <c:v>292567.907444668</c:v>
                </c:pt>
                <c:pt idx="48">
                  <c:v>304225.35211267602</c:v>
                </c:pt>
                <c:pt idx="49">
                  <c:v>316109.15492957749</c:v>
                </c:pt>
                <c:pt idx="50">
                  <c:v>328219.31589537224</c:v>
                </c:pt>
                <c:pt idx="51">
                  <c:v>340555.83501006034</c:v>
                </c:pt>
                <c:pt idx="52">
                  <c:v>353118.71227364184</c:v>
                </c:pt>
                <c:pt idx="53">
                  <c:v>365907.94768611668</c:v>
                </c:pt>
                <c:pt idx="54">
                  <c:v>378923.54124748491</c:v>
                </c:pt>
                <c:pt idx="55">
                  <c:v>392165.49295774644</c:v>
                </c:pt>
                <c:pt idx="56">
                  <c:v>405633.80281690141</c:v>
                </c:pt>
                <c:pt idx="57">
                  <c:v>419328.47082494968</c:v>
                </c:pt>
                <c:pt idx="58">
                  <c:v>433249.49698189134</c:v>
                </c:pt>
                <c:pt idx="59">
                  <c:v>447396.88128772634</c:v>
                </c:pt>
                <c:pt idx="60">
                  <c:v>461770.62374245474</c:v>
                </c:pt>
                <c:pt idx="61">
                  <c:v>476370.72434607643</c:v>
                </c:pt>
                <c:pt idx="62">
                  <c:v>491197.18309859151</c:v>
                </c:pt>
                <c:pt idx="63">
                  <c:v>506250</c:v>
                </c:pt>
                <c:pt idx="64">
                  <c:v>521529.17505030177</c:v>
                </c:pt>
                <c:pt idx="65">
                  <c:v>537034.70824949699</c:v>
                </c:pt>
                <c:pt idx="66">
                  <c:v>552766.5995975855</c:v>
                </c:pt>
                <c:pt idx="67">
                  <c:v>568724.84909456735</c:v>
                </c:pt>
                <c:pt idx="68">
                  <c:v>584909.45674044266</c:v>
                </c:pt>
                <c:pt idx="69">
                  <c:v>601320.4225352112</c:v>
                </c:pt>
                <c:pt idx="70">
                  <c:v>617957.74647887319</c:v>
                </c:pt>
                <c:pt idx="71">
                  <c:v>634821.42857142852</c:v>
                </c:pt>
                <c:pt idx="72">
                  <c:v>651911.4688128772</c:v>
                </c:pt>
                <c:pt idx="73">
                  <c:v>669227.86720321933</c:v>
                </c:pt>
                <c:pt idx="74">
                  <c:v>686770.62374245469</c:v>
                </c:pt>
                <c:pt idx="75">
                  <c:v>704539.7384305835</c:v>
                </c:pt>
                <c:pt idx="76">
                  <c:v>722535.21126760554</c:v>
                </c:pt>
                <c:pt idx="77">
                  <c:v>740757.04225352104</c:v>
                </c:pt>
                <c:pt idx="78">
                  <c:v>759205.23138832999</c:v>
                </c:pt>
                <c:pt idx="79">
                  <c:v>777879.77867203217</c:v>
                </c:pt>
                <c:pt idx="80">
                  <c:v>796780.6841046277</c:v>
                </c:pt>
                <c:pt idx="81">
                  <c:v>815907.94768611668</c:v>
                </c:pt>
                <c:pt idx="82">
                  <c:v>835261.56941649888</c:v>
                </c:pt>
                <c:pt idx="83">
                  <c:v>854841.54929577454</c:v>
                </c:pt>
                <c:pt idx="84">
                  <c:v>874647.88732394355</c:v>
                </c:pt>
                <c:pt idx="85">
                  <c:v>894680.58350100601</c:v>
                </c:pt>
                <c:pt idx="86">
                  <c:v>914939.63782696181</c:v>
                </c:pt>
                <c:pt idx="87">
                  <c:v>935425.05030181084</c:v>
                </c:pt>
                <c:pt idx="88">
                  <c:v>956136.82092555333</c:v>
                </c:pt>
                <c:pt idx="89">
                  <c:v>977074.94969818904</c:v>
                </c:pt>
                <c:pt idx="90">
                  <c:v>998239.43661971821</c:v>
                </c:pt>
                <c:pt idx="91">
                  <c:v>1019630.2816901408</c:v>
                </c:pt>
                <c:pt idx="92">
                  <c:v>1041247.4849094568</c:v>
                </c:pt>
                <c:pt idx="93">
                  <c:v>1063091.046277666</c:v>
                </c:pt>
                <c:pt idx="94">
                  <c:v>1085160.9657947687</c:v>
                </c:pt>
                <c:pt idx="95">
                  <c:v>1107457.2434607644</c:v>
                </c:pt>
                <c:pt idx="96">
                  <c:v>1129979.8792756537</c:v>
                </c:pt>
                <c:pt idx="97">
                  <c:v>1152728.8732394364</c:v>
                </c:pt>
                <c:pt idx="98">
                  <c:v>1175704.2253521127</c:v>
                </c:pt>
                <c:pt idx="99">
                  <c:v>1198905.935613682</c:v>
                </c:pt>
                <c:pt idx="100">
                  <c:v>1222334.004024145</c:v>
                </c:pt>
              </c:numCache>
            </c:numRef>
          </c:val>
          <c:smooth val="0"/>
        </c:ser>
        <c:dLbls>
          <c:showLegendKey val="0"/>
          <c:showVal val="0"/>
          <c:showCatName val="0"/>
          <c:showSerName val="0"/>
          <c:showPercent val="0"/>
          <c:showBubbleSize val="0"/>
        </c:dLbls>
        <c:marker val="1"/>
        <c:smooth val="0"/>
        <c:axId val="79121792"/>
        <c:axId val="79135872"/>
      </c:lineChart>
      <c:catAx>
        <c:axId val="79121792"/>
        <c:scaling>
          <c:orientation val="minMax"/>
        </c:scaling>
        <c:delete val="0"/>
        <c:axPos val="b"/>
        <c:title>
          <c:tx>
            <c:rich>
              <a:bodyPr/>
              <a:lstStyle/>
              <a:p>
                <a:pPr>
                  <a:defRPr/>
                </a:pPr>
                <a:r>
                  <a:rPr lang="en-GB"/>
                  <a:t>years of population</a:t>
                </a:r>
                <a:r>
                  <a:rPr lang="en-GB" baseline="0"/>
                  <a:t> expansion</a:t>
                </a:r>
                <a:endParaRPr lang="en-GB"/>
              </a:p>
            </c:rich>
          </c:tx>
          <c:layout/>
          <c:overlay val="0"/>
        </c:title>
        <c:numFmt formatCode="General" sourceLinked="1"/>
        <c:majorTickMark val="out"/>
        <c:minorTickMark val="none"/>
        <c:tickLblPos val="nextTo"/>
        <c:crossAx val="79135872"/>
        <c:crosses val="autoZero"/>
        <c:auto val="1"/>
        <c:lblAlgn val="ctr"/>
        <c:lblOffset val="100"/>
        <c:noMultiLvlLbl val="0"/>
      </c:catAx>
      <c:valAx>
        <c:axId val="79135872"/>
        <c:scaling>
          <c:orientation val="minMax"/>
        </c:scaling>
        <c:delete val="0"/>
        <c:axPos val="l"/>
        <c:majorGridlines/>
        <c:title>
          <c:tx>
            <c:rich>
              <a:bodyPr rot="-5400000" vert="horz"/>
              <a:lstStyle/>
              <a:p>
                <a:pPr>
                  <a:defRPr/>
                </a:pPr>
                <a:r>
                  <a:rPr lang="en-US"/>
                  <a:t>cost</a:t>
                </a:r>
              </a:p>
            </c:rich>
          </c:tx>
          <c:layout/>
          <c:overlay val="0"/>
        </c:title>
        <c:numFmt formatCode="&quot;£&quot;#,##0" sourceLinked="1"/>
        <c:majorTickMark val="out"/>
        <c:minorTickMark val="none"/>
        <c:tickLblPos val="nextTo"/>
        <c:crossAx val="791217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73539151193506"/>
          <c:y val="9.0278083896497593E-2"/>
          <c:w val="0.62969643554376198"/>
          <c:h val="0.60764094930334933"/>
        </c:manualLayout>
      </c:layout>
      <c:lineChart>
        <c:grouping val="standard"/>
        <c:varyColors val="0"/>
        <c:ser>
          <c:idx val="0"/>
          <c:order val="0"/>
          <c:tx>
            <c:v>re-stocking only cost p.a.</c:v>
          </c:tx>
          <c:marker>
            <c:symbol val="none"/>
          </c:marker>
          <c:val>
            <c:numRef>
              <c:f>'Trapping model'!$C$33:$C$42</c:f>
              <c:numCache>
                <c:formatCode>"£"#,##0</c:formatCode>
                <c:ptCount val="10"/>
                <c:pt idx="0">
                  <c:v>958.90410958904101</c:v>
                </c:pt>
                <c:pt idx="1">
                  <c:v>2109.5890410958905</c:v>
                </c:pt>
                <c:pt idx="2">
                  <c:v>3452.0547945205481</c:v>
                </c:pt>
                <c:pt idx="3">
                  <c:v>4986.301369863013</c:v>
                </c:pt>
                <c:pt idx="4">
                  <c:v>6712.3287671232874</c:v>
                </c:pt>
                <c:pt idx="5">
                  <c:v>8630.1369863013697</c:v>
                </c:pt>
                <c:pt idx="6">
                  <c:v>10739.726027397261</c:v>
                </c:pt>
                <c:pt idx="7">
                  <c:v>13041.095890410958</c:v>
                </c:pt>
                <c:pt idx="8">
                  <c:v>15534.246575342466</c:v>
                </c:pt>
                <c:pt idx="9">
                  <c:v>18219.178082191782</c:v>
                </c:pt>
              </c:numCache>
            </c:numRef>
          </c:val>
          <c:smooth val="0"/>
        </c:ser>
        <c:ser>
          <c:idx val="1"/>
          <c:order val="1"/>
          <c:tx>
            <c:v>trap and restock cost p.a.</c:v>
          </c:tx>
          <c:marker>
            <c:symbol val="none"/>
          </c:marker>
          <c:val>
            <c:numRef>
              <c:f>'Trapping model'!$H$33:$H$42</c:f>
              <c:numCache>
                <c:formatCode>_-"£"* #,##0_-;\-"£"* #,##0_-;_-"£"* "-"??_-;_-@_-</c:formatCode>
                <c:ptCount val="10"/>
                <c:pt idx="0">
                  <c:v>40512.497205454951</c:v>
                </c:pt>
                <c:pt idx="1">
                  <c:v>98639.123630672926</c:v>
                </c:pt>
                <c:pt idx="2">
                  <c:v>174379.87927565392</c:v>
                </c:pt>
                <c:pt idx="3">
                  <c:v>267734.76414039795</c:v>
                </c:pt>
                <c:pt idx="4">
                  <c:v>378703.77822490496</c:v>
                </c:pt>
                <c:pt idx="5">
                  <c:v>507286.92152917507</c:v>
                </c:pt>
                <c:pt idx="6">
                  <c:v>653484.19405320822</c:v>
                </c:pt>
                <c:pt idx="7">
                  <c:v>817295.59579700429</c:v>
                </c:pt>
                <c:pt idx="8">
                  <c:v>998721.12676056335</c:v>
                </c:pt>
                <c:pt idx="9">
                  <c:v>1197760.7869438855</c:v>
                </c:pt>
              </c:numCache>
            </c:numRef>
          </c:val>
          <c:smooth val="0"/>
        </c:ser>
        <c:dLbls>
          <c:showLegendKey val="0"/>
          <c:showVal val="0"/>
          <c:showCatName val="0"/>
          <c:showSerName val="0"/>
          <c:showPercent val="0"/>
          <c:showBubbleSize val="0"/>
        </c:dLbls>
        <c:marker val="1"/>
        <c:smooth val="0"/>
        <c:axId val="63359232"/>
        <c:axId val="63369600"/>
      </c:lineChart>
      <c:catAx>
        <c:axId val="6335923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years</a:t>
                </a:r>
              </a:p>
            </c:rich>
          </c:tx>
          <c:layout>
            <c:manualLayout>
              <c:xMode val="edge"/>
              <c:yMode val="edge"/>
              <c:x val="0.45796101963104341"/>
              <c:y val="0.80555808572708898"/>
            </c:manualLayout>
          </c:layout>
          <c:overlay val="0"/>
          <c:spPr>
            <a:noFill/>
            <a:ln w="25400">
              <a:noFill/>
            </a:ln>
          </c:spPr>
        </c:title>
        <c:numFmt formatCode="General" sourceLinked="1"/>
        <c:majorTickMark val="out"/>
        <c:minorTickMark val="none"/>
        <c:tickLblPos val="nextTo"/>
        <c:crossAx val="63369600"/>
        <c:crosses val="autoZero"/>
        <c:auto val="1"/>
        <c:lblAlgn val="ctr"/>
        <c:lblOffset val="100"/>
        <c:noMultiLvlLbl val="0"/>
      </c:catAx>
      <c:valAx>
        <c:axId val="63369600"/>
        <c:scaling>
          <c:orientation val="minMax"/>
        </c:scaling>
        <c:delete val="0"/>
        <c:axPos val="l"/>
        <c:majorGridlines/>
        <c:numFmt formatCode="&quot;£&quot;#,##0" sourceLinked="1"/>
        <c:majorTickMark val="out"/>
        <c:minorTickMark val="none"/>
        <c:tickLblPos val="nextTo"/>
        <c:crossAx val="63359232"/>
        <c:crosses val="autoZero"/>
        <c:crossBetween val="between"/>
      </c:valAx>
    </c:plotArea>
    <c:legend>
      <c:legendPos val="b"/>
      <c:layout>
        <c:manualLayout>
          <c:xMode val="edge"/>
          <c:yMode val="edge"/>
          <c:x val="0.1663687030176684"/>
          <c:y val="0.89930844010352373"/>
          <c:w val="0.64221881030524142"/>
          <c:h val="7.6389109897848084E-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Trapping model'!A1"/><Relationship Id="rId2" Type="http://schemas.openxmlformats.org/officeDocument/2006/relationships/hyperlink" Target="#'Model '!A1"/><Relationship Id="rId1" Type="http://schemas.openxmlformats.org/officeDocument/2006/relationships/hyperlink" Target="#'N ESk Scenarios'!A1"/><Relationship Id="rId4" Type="http://schemas.openxmlformats.org/officeDocument/2006/relationships/hyperlink" Target="#modelauto!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28575</xdr:colOff>
      <xdr:row>14</xdr:row>
      <xdr:rowOff>161925</xdr:rowOff>
    </xdr:from>
    <xdr:to>
      <xdr:col>11</xdr:col>
      <xdr:colOff>57150</xdr:colOff>
      <xdr:row>31</xdr:row>
      <xdr:rowOff>66675</xdr:rowOff>
    </xdr:to>
    <xdr:sp macro="" textlink="">
      <xdr:nvSpPr>
        <xdr:cNvPr id="2" name="TextBox 1">
          <a:hlinkClick xmlns:r="http://schemas.openxmlformats.org/officeDocument/2006/relationships" r:id="rId1"/>
        </xdr:cNvPr>
        <xdr:cNvSpPr txBox="1"/>
      </xdr:nvSpPr>
      <xdr:spPr>
        <a:xfrm>
          <a:off x="1247775" y="2828925"/>
          <a:ext cx="5514975" cy="314325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n-GB" sz="1100" baseline="0"/>
        </a:p>
        <a:p>
          <a:r>
            <a:rPr lang="en-GB" sz="1100" b="1" baseline="0"/>
            <a:t>'N Esk Scenarios' </a:t>
          </a:r>
          <a:r>
            <a:rPr lang="en-GB" sz="1100" baseline="0"/>
            <a:t>shows  revised idealised costings for the treatment of the North Esk sites as if they were to be performed with modern methods and costs assuming that the areas requiring treatment had not expanded beyond that originally treated  </a:t>
          </a:r>
          <a:r>
            <a:rPr lang="en-GB" sz="1100" baseline="0">
              <a:solidFill>
                <a:schemeClr val="dk1"/>
              </a:solidFill>
              <a:latin typeface="+mn-lt"/>
              <a:ea typeface="+mn-ea"/>
              <a:cs typeface="+mn-cs"/>
            </a:rPr>
            <a:t>(scenario 1) </a:t>
          </a:r>
          <a:r>
            <a:rPr lang="en-GB" sz="1100" baseline="0"/>
            <a:t>. </a:t>
          </a:r>
        </a:p>
        <a:p>
          <a:endParaRPr lang="en-GB" sz="1100" baseline="0"/>
        </a:p>
        <a:p>
          <a:r>
            <a:rPr lang="en-GB" sz="1100" baseline="0"/>
            <a:t>Also shown are the estimated situation in 5 years time under an optimistic assumption of rate of spread (scenario 2) and with a more typical rate of spread (scenario 3).</a:t>
          </a:r>
        </a:p>
        <a:p>
          <a:endParaRPr lang="en-GB" sz="1100" baseline="0"/>
        </a:p>
        <a:p>
          <a:r>
            <a:rPr lang="en-GB" sz="1100" baseline="0"/>
            <a:t>Scenarios 1 and 2 are broken down in detail and all assumptions are stated in the notes.</a:t>
          </a:r>
        </a:p>
        <a:p>
          <a:r>
            <a:rPr lang="en-GB" sz="1100" baseline="0"/>
            <a:t>The cost of the additional stream length in Scenario 3 is proportionately extrapolated from  Scenario 2 costs .</a:t>
          </a:r>
        </a:p>
        <a:p>
          <a:endParaRPr lang="en-GB" sz="1100" baseline="0"/>
        </a:p>
        <a:p>
          <a:r>
            <a:rPr lang="en-GB" sz="1100"/>
            <a:t>These show the fast escalation in costs if a treatment is delayed and allowed to expand into a river</a:t>
          </a:r>
          <a:r>
            <a:rPr lang="en-GB" sz="1100" baseline="0"/>
            <a:t> system.  [</a:t>
          </a:r>
          <a:r>
            <a:rPr lang="en-GB" sz="1100" baseline="0">
              <a:solidFill>
                <a:schemeClr val="accent3">
                  <a:lumMod val="50000"/>
                </a:schemeClr>
              </a:solidFill>
            </a:rPr>
            <a:t>click to go direct to sheet</a:t>
          </a:r>
          <a:r>
            <a:rPr lang="en-GB" sz="1100" baseline="0"/>
            <a:t>]</a:t>
          </a:r>
        </a:p>
        <a:p>
          <a:r>
            <a:rPr lang="en-GB" sz="1100" b="1" baseline="0"/>
            <a:t>'Pyblast calculator</a:t>
          </a:r>
          <a:r>
            <a:rPr lang="en-GB" sz="1100" baseline="0"/>
            <a:t>' is a calculations sheet for the cost of chemical.  It can be used separately to calculate costs for any waterbodies to be treated.  Quantities and costs can then be incorporated into N Esk Scenarios worksheet if required. </a:t>
          </a:r>
          <a:endParaRPr lang="en-GB" sz="1100" baseline="0">
            <a:solidFill>
              <a:schemeClr val="accent3">
                <a:lumMod val="50000"/>
              </a:schemeClr>
            </a:solidFill>
          </a:endParaRPr>
        </a:p>
      </xdr:txBody>
    </xdr:sp>
    <xdr:clientData/>
  </xdr:twoCellAnchor>
  <xdr:twoCellAnchor>
    <xdr:from>
      <xdr:col>2</xdr:col>
      <xdr:colOff>66675</xdr:colOff>
      <xdr:row>0</xdr:row>
      <xdr:rowOff>47626</xdr:rowOff>
    </xdr:from>
    <xdr:to>
      <xdr:col>11</xdr:col>
      <xdr:colOff>19050</xdr:colOff>
      <xdr:row>11</xdr:row>
      <xdr:rowOff>104776</xdr:rowOff>
    </xdr:to>
    <xdr:sp macro="" textlink="">
      <xdr:nvSpPr>
        <xdr:cNvPr id="3" name="TextBox 2"/>
        <xdr:cNvSpPr txBox="1"/>
      </xdr:nvSpPr>
      <xdr:spPr>
        <a:xfrm>
          <a:off x="1285875" y="47626"/>
          <a:ext cx="5438775" cy="2152650"/>
        </a:xfrm>
        <a:prstGeom prst="rect">
          <a:avLst/>
        </a:prstGeom>
        <a:solidFill>
          <a:schemeClr val="lt1"/>
        </a:solidFill>
        <a:ln w="9525" cmpd="sng">
          <a:solidFill>
            <a:schemeClr val="lt1">
              <a:shade val="50000"/>
            </a:schemeClr>
          </a:solidFill>
        </a:ln>
        <a:effectLst>
          <a:outerShdw blurRad="508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solidFill>
                <a:schemeClr val="dk1"/>
              </a:solidFill>
              <a:latin typeface="+mn-lt"/>
              <a:ea typeface="+mn-ea"/>
              <a:cs typeface="+mn-cs"/>
            </a:rPr>
            <a:t>Content:</a:t>
          </a:r>
        </a:p>
        <a:p>
          <a:r>
            <a:rPr lang="en-GB" sz="1100">
              <a:solidFill>
                <a:schemeClr val="dk1"/>
              </a:solidFill>
              <a:latin typeface="+mn-lt"/>
              <a:ea typeface="+mn-ea"/>
              <a:cs typeface="+mn-cs"/>
            </a:rPr>
            <a:t>The </a:t>
          </a:r>
          <a:r>
            <a:rPr lang="en-GB" sz="1100" baseline="0">
              <a:solidFill>
                <a:schemeClr val="dk1"/>
              </a:solidFill>
              <a:latin typeface="+mn-lt"/>
              <a:ea typeface="+mn-ea"/>
              <a:cs typeface="+mn-cs"/>
            </a:rPr>
            <a:t>worksheets show a cost model for an invasion of signal crayfish within a modelled catchment.  The cost model uses a surrogate cost for the environmental impact of invasive crayfish, based on an estimated restocking cost for salmon or brown trout.  The model  shows the annual and cumulative costs, based on the total length of watercourses invaded by crayfish at year y.</a:t>
          </a:r>
        </a:p>
        <a:p>
          <a:endParaRPr lang="en-GB" sz="1100" baseline="0">
            <a:solidFill>
              <a:schemeClr val="dk1"/>
            </a:solidFill>
            <a:latin typeface="+mn-lt"/>
            <a:ea typeface="+mn-ea"/>
            <a:cs typeface="+mn-cs"/>
          </a:endParaRPr>
        </a:p>
        <a:p>
          <a:r>
            <a:rPr lang="en-GB" sz="1100" baseline="0">
              <a:solidFill>
                <a:schemeClr val="dk1"/>
              </a:solidFill>
              <a:latin typeface="+mn-lt"/>
              <a:ea typeface="+mn-ea"/>
              <a:cs typeface="+mn-cs"/>
            </a:rPr>
            <a:t>The cost model allows three management scenarios to be explored:</a:t>
          </a:r>
        </a:p>
        <a:p>
          <a:r>
            <a:rPr lang="en-GB" sz="1100" baseline="0">
              <a:solidFill>
                <a:schemeClr val="dk1"/>
              </a:solidFill>
              <a:latin typeface="+mn-lt"/>
              <a:ea typeface="+mn-ea"/>
              <a:cs typeface="+mn-cs"/>
            </a:rPr>
            <a:t>1. no management, impact cost only (re-stocking)</a:t>
          </a:r>
        </a:p>
        <a:p>
          <a:r>
            <a:rPr lang="en-GB" sz="1100" baseline="0">
              <a:solidFill>
                <a:schemeClr val="dk1"/>
              </a:solidFill>
              <a:latin typeface="+mn-lt"/>
              <a:ea typeface="+mn-ea"/>
              <a:cs typeface="+mn-cs"/>
            </a:rPr>
            <a:t>2. an eradication treatment using  biocide  (from revised costing for biocide treatments  carried out in the North Esk catchment, or as modified by the user)</a:t>
          </a:r>
        </a:p>
        <a:p>
          <a:r>
            <a:rPr lang="en-GB" sz="1100" baseline="0">
              <a:solidFill>
                <a:schemeClr val="dk1"/>
              </a:solidFill>
              <a:latin typeface="+mn-lt"/>
              <a:ea typeface="+mn-ea"/>
              <a:cs typeface="+mn-cs"/>
            </a:rPr>
            <a:t>3. a control treatment, using trapping</a:t>
          </a:r>
        </a:p>
        <a:p>
          <a:endParaRPr lang="en-GB" sz="1100" baseline="0">
            <a:solidFill>
              <a:schemeClr val="dk1"/>
            </a:solidFill>
            <a:latin typeface="+mn-lt"/>
            <a:ea typeface="+mn-ea"/>
            <a:cs typeface="+mn-cs"/>
          </a:endParaRPr>
        </a:p>
        <a:p>
          <a:endParaRPr lang="en-GB" sz="1100" baseline="0">
            <a:solidFill>
              <a:schemeClr val="dk1"/>
            </a:solidFill>
            <a:latin typeface="+mn-lt"/>
            <a:ea typeface="+mn-ea"/>
            <a:cs typeface="+mn-cs"/>
          </a:endParaRPr>
        </a:p>
        <a:p>
          <a:endParaRPr lang="en-GB" sz="1100" baseline="0">
            <a:solidFill>
              <a:schemeClr val="dk1"/>
            </a:solidFill>
            <a:latin typeface="+mn-lt"/>
            <a:ea typeface="+mn-ea"/>
            <a:cs typeface="+mn-cs"/>
          </a:endParaRPr>
        </a:p>
        <a:p>
          <a:endParaRPr lang="en-GB" sz="1100" baseline="0">
            <a:solidFill>
              <a:schemeClr val="dk1"/>
            </a:solidFill>
            <a:latin typeface="+mn-lt"/>
            <a:ea typeface="+mn-ea"/>
            <a:cs typeface="+mn-cs"/>
          </a:endParaRPr>
        </a:p>
        <a:p>
          <a:endParaRPr lang="en-GB" sz="1100" baseline="0">
            <a:solidFill>
              <a:schemeClr val="dk1"/>
            </a:solidFill>
            <a:latin typeface="+mn-lt"/>
            <a:ea typeface="+mn-ea"/>
            <a:cs typeface="+mn-cs"/>
          </a:endParaRPr>
        </a:p>
        <a:p>
          <a:endParaRPr lang="en-GB" sz="1100"/>
        </a:p>
      </xdr:txBody>
    </xdr:sp>
    <xdr:clientData/>
  </xdr:twoCellAnchor>
  <xdr:twoCellAnchor>
    <xdr:from>
      <xdr:col>2</xdr:col>
      <xdr:colOff>28575</xdr:colOff>
      <xdr:row>31</xdr:row>
      <xdr:rowOff>180975</xdr:rowOff>
    </xdr:from>
    <xdr:to>
      <xdr:col>11</xdr:col>
      <xdr:colOff>19050</xdr:colOff>
      <xdr:row>37</xdr:row>
      <xdr:rowOff>0</xdr:rowOff>
    </xdr:to>
    <xdr:sp macro="" textlink="">
      <xdr:nvSpPr>
        <xdr:cNvPr id="4" name="TextBox 3">
          <a:hlinkClick xmlns:r="http://schemas.openxmlformats.org/officeDocument/2006/relationships" r:id="rId2"/>
        </xdr:cNvPr>
        <xdr:cNvSpPr txBox="1"/>
      </xdr:nvSpPr>
      <xdr:spPr>
        <a:xfrm>
          <a:off x="1247775" y="6086475"/>
          <a:ext cx="5476875" cy="96202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t>'Model'</a:t>
          </a:r>
          <a:r>
            <a:rPr lang="en-GB" sz="1100"/>
            <a:t> shows the assumptions and mathematical derivation of the model used to demonstrate the  expansion of an invasive crayfish population in a catchment and the costs to compensate by re-stocking with Salmon and Trout.</a:t>
          </a:r>
        </a:p>
        <a:p>
          <a:r>
            <a:rPr lang="en-GB" sz="1100"/>
            <a:t>It is an active model and variables can be adjusted to suit different river sizes, fish costs and rates of spread.  </a:t>
          </a:r>
          <a:r>
            <a:rPr lang="en-GB" sz="1100">
              <a:solidFill>
                <a:schemeClr val="accent3">
                  <a:lumMod val="50000"/>
                </a:schemeClr>
              </a:solidFill>
            </a:rPr>
            <a:t>[click to go direct to sheet]</a:t>
          </a:r>
        </a:p>
      </xdr:txBody>
    </xdr:sp>
    <xdr:clientData/>
  </xdr:twoCellAnchor>
  <xdr:twoCellAnchor>
    <xdr:from>
      <xdr:col>2</xdr:col>
      <xdr:colOff>0</xdr:colOff>
      <xdr:row>37</xdr:row>
      <xdr:rowOff>142875</xdr:rowOff>
    </xdr:from>
    <xdr:to>
      <xdr:col>11</xdr:col>
      <xdr:colOff>19050</xdr:colOff>
      <xdr:row>43</xdr:row>
      <xdr:rowOff>95250</xdr:rowOff>
    </xdr:to>
    <xdr:sp macro="" textlink="">
      <xdr:nvSpPr>
        <xdr:cNvPr id="5" name="TextBox 4">
          <a:hlinkClick xmlns:r="http://schemas.openxmlformats.org/officeDocument/2006/relationships" r:id="rId3"/>
        </xdr:cNvPr>
        <xdr:cNvSpPr txBox="1"/>
      </xdr:nvSpPr>
      <xdr:spPr>
        <a:xfrm>
          <a:off x="1219200" y="7191375"/>
          <a:ext cx="5505450" cy="109537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t>'Trapping model'  </a:t>
          </a:r>
          <a:r>
            <a:rPr lang="en-GB" sz="1100" b="0"/>
            <a:t>uses the same model to demonstrate the cost effectiveness of trapping in a catchment where losses are </a:t>
          </a:r>
          <a:r>
            <a:rPr lang="en-GB" sz="1100">
              <a:solidFill>
                <a:schemeClr val="dk1"/>
              </a:solidFill>
              <a:latin typeface="+mn-lt"/>
              <a:ea typeface="+mn-ea"/>
              <a:cs typeface="+mn-cs"/>
            </a:rPr>
            <a:t>compensated for</a:t>
          </a:r>
          <a:r>
            <a:rPr lang="en-GB" sz="1100" baseline="0">
              <a:solidFill>
                <a:schemeClr val="dk1"/>
              </a:solidFill>
              <a:latin typeface="+mn-lt"/>
              <a:ea typeface="+mn-ea"/>
              <a:cs typeface="+mn-cs"/>
            </a:rPr>
            <a:t> </a:t>
          </a:r>
          <a:r>
            <a:rPr lang="en-GB" sz="1100">
              <a:solidFill>
                <a:schemeClr val="dk1"/>
              </a:solidFill>
              <a:latin typeface="+mn-lt"/>
              <a:ea typeface="+mn-ea"/>
              <a:cs typeface="+mn-cs"/>
            </a:rPr>
            <a:t>by re-stocking (Salmon only).</a:t>
          </a:r>
        </a:p>
        <a:p>
          <a:r>
            <a:rPr lang="en-GB" sz="1100" b="0">
              <a:solidFill>
                <a:schemeClr val="dk1"/>
              </a:solidFill>
              <a:latin typeface="+mn-lt"/>
              <a:ea typeface="+mn-ea"/>
              <a:cs typeface="+mn-cs"/>
            </a:rPr>
            <a:t>A 'Re-stocking only' situation with fast</a:t>
          </a:r>
          <a:r>
            <a:rPr lang="en-GB" sz="1100" b="0" baseline="0">
              <a:solidFill>
                <a:schemeClr val="dk1"/>
              </a:solidFill>
              <a:latin typeface="+mn-lt"/>
              <a:ea typeface="+mn-ea"/>
              <a:cs typeface="+mn-cs"/>
            </a:rPr>
            <a:t> rates of spread can be compared to the re-stock costs required under a trapping regime with lower rates of spread. This is an active model and rates of spread, rivers length and fish costs can be adjusted for  both situations. </a:t>
          </a:r>
          <a:r>
            <a:rPr lang="en-GB" sz="1100">
              <a:solidFill>
                <a:schemeClr val="dk1"/>
              </a:solidFill>
              <a:latin typeface="+mn-lt"/>
              <a:ea typeface="+mn-ea"/>
              <a:cs typeface="+mn-cs"/>
            </a:rPr>
            <a:t>[</a:t>
          </a:r>
          <a:r>
            <a:rPr lang="en-GB" sz="1100">
              <a:solidFill>
                <a:schemeClr val="accent3">
                  <a:lumMod val="50000"/>
                </a:schemeClr>
              </a:solidFill>
              <a:latin typeface="+mn-lt"/>
              <a:ea typeface="+mn-ea"/>
              <a:cs typeface="+mn-cs"/>
            </a:rPr>
            <a:t>click to go direct to sheet]</a:t>
          </a:r>
          <a:endParaRPr lang="en-GB" sz="1100" b="0" baseline="0">
            <a:solidFill>
              <a:schemeClr val="accent3">
                <a:lumMod val="50000"/>
              </a:schemeClr>
            </a:solidFill>
            <a:latin typeface="+mn-lt"/>
            <a:ea typeface="+mn-ea"/>
            <a:cs typeface="+mn-cs"/>
          </a:endParaRPr>
        </a:p>
        <a:p>
          <a:endParaRPr lang="en-GB" sz="1100" b="0"/>
        </a:p>
      </xdr:txBody>
    </xdr:sp>
    <xdr:clientData/>
  </xdr:twoCellAnchor>
  <xdr:twoCellAnchor>
    <xdr:from>
      <xdr:col>2</xdr:col>
      <xdr:colOff>0</xdr:colOff>
      <xdr:row>44</xdr:row>
      <xdr:rowOff>19050</xdr:rowOff>
    </xdr:from>
    <xdr:to>
      <xdr:col>11</xdr:col>
      <xdr:colOff>9525</xdr:colOff>
      <xdr:row>47</xdr:row>
      <xdr:rowOff>47625</xdr:rowOff>
    </xdr:to>
    <xdr:sp macro="" textlink="">
      <xdr:nvSpPr>
        <xdr:cNvPr id="6" name="TextBox 5">
          <a:hlinkClick xmlns:r="http://schemas.openxmlformats.org/officeDocument/2006/relationships" r:id="rId4"/>
        </xdr:cNvPr>
        <xdr:cNvSpPr txBox="1"/>
      </xdr:nvSpPr>
      <xdr:spPr>
        <a:xfrm>
          <a:off x="1219200" y="8401050"/>
          <a:ext cx="5495925" cy="60007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t>'modelauto'</a:t>
          </a:r>
          <a:r>
            <a:rPr lang="en-GB" sz="1100" b="1" baseline="0"/>
            <a:t> </a:t>
          </a:r>
          <a:r>
            <a:rPr lang="en-GB" sz="1100" baseline="0"/>
            <a:t>is a refined version of the model which removes the need for the variable 'average tributary distance' and substitutes 'main river length'. It is simpler to understand but less flexible in modifying itself to different river types.  </a:t>
          </a:r>
          <a:r>
            <a:rPr lang="en-GB" sz="1100">
              <a:solidFill>
                <a:schemeClr val="accent3">
                  <a:lumMod val="50000"/>
                </a:schemeClr>
              </a:solidFill>
              <a:latin typeface="+mn-lt"/>
              <a:ea typeface="+mn-ea"/>
              <a:cs typeface="+mn-cs"/>
            </a:rPr>
            <a:t>[click to go direct to sheet]</a:t>
          </a:r>
          <a:endParaRPr lang="en-GB" sz="1100">
            <a:solidFill>
              <a:schemeClr val="accent3">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20934</xdr:colOff>
      <xdr:row>15</xdr:row>
      <xdr:rowOff>170509</xdr:rowOff>
    </xdr:from>
    <xdr:to>
      <xdr:col>7</xdr:col>
      <xdr:colOff>20934</xdr:colOff>
      <xdr:row>18</xdr:row>
      <xdr:rowOff>177940</xdr:rowOff>
    </xdr:to>
    <xdr:sp macro="" textlink="">
      <xdr:nvSpPr>
        <xdr:cNvPr id="2" name="TextBox 1"/>
        <xdr:cNvSpPr txBox="1"/>
      </xdr:nvSpPr>
      <xdr:spPr>
        <a:xfrm>
          <a:off x="4291483" y="3415289"/>
          <a:ext cx="4197281" cy="572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a:t>If the first trib is at the introduction point progress along subsequent tribs falls off in proportion by:</a:t>
          </a:r>
        </a:p>
      </xdr:txBody>
    </xdr:sp>
    <xdr:clientData/>
  </xdr:twoCellAnchor>
  <xdr:twoCellAnchor>
    <xdr:from>
      <xdr:col>12</xdr:col>
      <xdr:colOff>516966</xdr:colOff>
      <xdr:row>46</xdr:row>
      <xdr:rowOff>125604</xdr:rowOff>
    </xdr:from>
    <xdr:to>
      <xdr:col>27</xdr:col>
      <xdr:colOff>235194</xdr:colOff>
      <xdr:row>66</xdr:row>
      <xdr:rowOff>182753</xdr:rowOff>
    </xdr:to>
    <xdr:graphicFrame macro="">
      <xdr:nvGraphicFramePr>
        <xdr:cNvPr id="20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551193</xdr:colOff>
      <xdr:row>68</xdr:row>
      <xdr:rowOff>177940</xdr:rowOff>
    </xdr:from>
    <xdr:to>
      <xdr:col>27</xdr:col>
      <xdr:colOff>431346</xdr:colOff>
      <xdr:row>94</xdr:row>
      <xdr:rowOff>160983</xdr:rowOff>
    </xdr:to>
    <xdr:graphicFrame macro="">
      <xdr:nvGraphicFramePr>
        <xdr:cNvPr id="20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561033</xdr:colOff>
      <xdr:row>97</xdr:row>
      <xdr:rowOff>4815</xdr:rowOff>
    </xdr:from>
    <xdr:to>
      <xdr:col>27</xdr:col>
      <xdr:colOff>408214</xdr:colOff>
      <xdr:row>119</xdr:row>
      <xdr:rowOff>62802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742950</xdr:colOff>
      <xdr:row>33</xdr:row>
      <xdr:rowOff>123825</xdr:rowOff>
    </xdr:from>
    <xdr:to>
      <xdr:col>15</xdr:col>
      <xdr:colOff>600075</xdr:colOff>
      <xdr:row>48</xdr:row>
      <xdr:rowOff>0</xdr:rowOff>
    </xdr:to>
    <xdr:graphicFrame macro="">
      <xdr:nvGraphicFramePr>
        <xdr:cNvPr id="513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11477</xdr:colOff>
      <xdr:row>10</xdr:row>
      <xdr:rowOff>100478</xdr:rowOff>
    </xdr:from>
    <xdr:to>
      <xdr:col>9</xdr:col>
      <xdr:colOff>11475</xdr:colOff>
      <xdr:row>15</xdr:row>
      <xdr:rowOff>172139</xdr:rowOff>
    </xdr:to>
    <xdr:sp macro="" textlink="">
      <xdr:nvSpPr>
        <xdr:cNvPr id="3" name="TextBox 2"/>
        <xdr:cNvSpPr txBox="1"/>
      </xdr:nvSpPr>
      <xdr:spPr>
        <a:xfrm>
          <a:off x="218043" y="2223520"/>
          <a:ext cx="9731565" cy="1047113"/>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a:t>The LHS</a:t>
          </a:r>
          <a:r>
            <a:rPr lang="en-GB" sz="1100" baseline="0"/>
            <a:t> block 'cost to re-stock' shows the increasing cost required to compensate for lost Salmon in a fast expanding signal population by re-stocking. (Blue on graph)</a:t>
          </a:r>
        </a:p>
        <a:p>
          <a:r>
            <a:rPr lang="en-GB" sz="1100" baseline="0"/>
            <a:t>The RHS block 'cost to trap and re-stock' shows the cost to trap added to the cost to compensate for a more slowly expanding signal population by re-stocking.(Red on graph)</a:t>
          </a:r>
        </a:p>
        <a:p>
          <a:r>
            <a:rPr lang="en-GB" sz="1100" baseline="0"/>
            <a:t>The graph shows these as similar in cost but this is only because very low rates of expansion have been assumed in the trapped scenario (0.1, 0.05km/yr) . These are not realistic.</a:t>
          </a:r>
        </a:p>
        <a:p>
          <a:r>
            <a:rPr lang="en-GB" sz="1100" baseline="0"/>
            <a:t>For any realistic choice of trapped expansion rate the trapping cost is significantly higher than just re-stocking.</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30" sqref="M30"/>
    </sheetView>
  </sheetViews>
  <sheetFormatPr defaultRowHeight="15" x14ac:dyDescent="0.25"/>
  <cols>
    <col min="1" max="16384" width="9.140625" style="13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workbookViewId="0">
      <selection activeCell="D43" sqref="D43"/>
    </sheetView>
  </sheetViews>
  <sheetFormatPr defaultRowHeight="12.75" x14ac:dyDescent="0.2"/>
  <cols>
    <col min="1" max="1" width="22.7109375" style="243" customWidth="1"/>
    <col min="2" max="2" width="11.140625" style="243" customWidth="1"/>
    <col min="3" max="3" width="12.140625" style="243" customWidth="1"/>
    <col min="4" max="4" width="11" style="243" customWidth="1"/>
    <col min="5" max="5" width="10.140625" style="243" bestFit="1" customWidth="1"/>
    <col min="6" max="8" width="11" style="243" customWidth="1"/>
    <col min="9" max="9" width="10.42578125" style="243" customWidth="1"/>
    <col min="10" max="10" width="9.7109375" style="243" customWidth="1"/>
    <col min="11" max="14" width="9.140625" style="243"/>
    <col min="15" max="15" width="9.7109375" style="243" bestFit="1" customWidth="1"/>
    <col min="16" max="256" width="9.140625" style="243"/>
    <col min="257" max="257" width="22.7109375" style="243" customWidth="1"/>
    <col min="258" max="258" width="11.140625" style="243" customWidth="1"/>
    <col min="259" max="259" width="12.140625" style="243" customWidth="1"/>
    <col min="260" max="260" width="11" style="243" customWidth="1"/>
    <col min="261" max="261" width="10.140625" style="243" bestFit="1" customWidth="1"/>
    <col min="262" max="264" width="11" style="243" customWidth="1"/>
    <col min="265" max="265" width="10.42578125" style="243" customWidth="1"/>
    <col min="266" max="266" width="9.7109375" style="243" customWidth="1"/>
    <col min="267" max="270" width="9.140625" style="243"/>
    <col min="271" max="271" width="9.7109375" style="243" bestFit="1" customWidth="1"/>
    <col min="272" max="512" width="9.140625" style="243"/>
    <col min="513" max="513" width="22.7109375" style="243" customWidth="1"/>
    <col min="514" max="514" width="11.140625" style="243" customWidth="1"/>
    <col min="515" max="515" width="12.140625" style="243" customWidth="1"/>
    <col min="516" max="516" width="11" style="243" customWidth="1"/>
    <col min="517" max="517" width="10.140625" style="243" bestFit="1" customWidth="1"/>
    <col min="518" max="520" width="11" style="243" customWidth="1"/>
    <col min="521" max="521" width="10.42578125" style="243" customWidth="1"/>
    <col min="522" max="522" width="9.7109375" style="243" customWidth="1"/>
    <col min="523" max="526" width="9.140625" style="243"/>
    <col min="527" max="527" width="9.7109375" style="243" bestFit="1" customWidth="1"/>
    <col min="528" max="768" width="9.140625" style="243"/>
    <col min="769" max="769" width="22.7109375" style="243" customWidth="1"/>
    <col min="770" max="770" width="11.140625" style="243" customWidth="1"/>
    <col min="771" max="771" width="12.140625" style="243" customWidth="1"/>
    <col min="772" max="772" width="11" style="243" customWidth="1"/>
    <col min="773" max="773" width="10.140625" style="243" bestFit="1" customWidth="1"/>
    <col min="774" max="776" width="11" style="243" customWidth="1"/>
    <col min="777" max="777" width="10.42578125" style="243" customWidth="1"/>
    <col min="778" max="778" width="9.7109375" style="243" customWidth="1"/>
    <col min="779" max="782" width="9.140625" style="243"/>
    <col min="783" max="783" width="9.7109375" style="243" bestFit="1" customWidth="1"/>
    <col min="784" max="1024" width="9.140625" style="243"/>
    <col min="1025" max="1025" width="22.7109375" style="243" customWidth="1"/>
    <col min="1026" max="1026" width="11.140625" style="243" customWidth="1"/>
    <col min="1027" max="1027" width="12.140625" style="243" customWidth="1"/>
    <col min="1028" max="1028" width="11" style="243" customWidth="1"/>
    <col min="1029" max="1029" width="10.140625" style="243" bestFit="1" customWidth="1"/>
    <col min="1030" max="1032" width="11" style="243" customWidth="1"/>
    <col min="1033" max="1033" width="10.42578125" style="243" customWidth="1"/>
    <col min="1034" max="1034" width="9.7109375" style="243" customWidth="1"/>
    <col min="1035" max="1038" width="9.140625" style="243"/>
    <col min="1039" max="1039" width="9.7109375" style="243" bestFit="1" customWidth="1"/>
    <col min="1040" max="1280" width="9.140625" style="243"/>
    <col min="1281" max="1281" width="22.7109375" style="243" customWidth="1"/>
    <col min="1282" max="1282" width="11.140625" style="243" customWidth="1"/>
    <col min="1283" max="1283" width="12.140625" style="243" customWidth="1"/>
    <col min="1284" max="1284" width="11" style="243" customWidth="1"/>
    <col min="1285" max="1285" width="10.140625" style="243" bestFit="1" customWidth="1"/>
    <col min="1286" max="1288" width="11" style="243" customWidth="1"/>
    <col min="1289" max="1289" width="10.42578125" style="243" customWidth="1"/>
    <col min="1290" max="1290" width="9.7109375" style="243" customWidth="1"/>
    <col min="1291" max="1294" width="9.140625" style="243"/>
    <col min="1295" max="1295" width="9.7109375" style="243" bestFit="1" customWidth="1"/>
    <col min="1296" max="1536" width="9.140625" style="243"/>
    <col min="1537" max="1537" width="22.7109375" style="243" customWidth="1"/>
    <col min="1538" max="1538" width="11.140625" style="243" customWidth="1"/>
    <col min="1539" max="1539" width="12.140625" style="243" customWidth="1"/>
    <col min="1540" max="1540" width="11" style="243" customWidth="1"/>
    <col min="1541" max="1541" width="10.140625" style="243" bestFit="1" customWidth="1"/>
    <col min="1542" max="1544" width="11" style="243" customWidth="1"/>
    <col min="1545" max="1545" width="10.42578125" style="243" customWidth="1"/>
    <col min="1546" max="1546" width="9.7109375" style="243" customWidth="1"/>
    <col min="1547" max="1550" width="9.140625" style="243"/>
    <col min="1551" max="1551" width="9.7109375" style="243" bestFit="1" customWidth="1"/>
    <col min="1552" max="1792" width="9.140625" style="243"/>
    <col min="1793" max="1793" width="22.7109375" style="243" customWidth="1"/>
    <col min="1794" max="1794" width="11.140625" style="243" customWidth="1"/>
    <col min="1795" max="1795" width="12.140625" style="243" customWidth="1"/>
    <col min="1796" max="1796" width="11" style="243" customWidth="1"/>
    <col min="1797" max="1797" width="10.140625" style="243" bestFit="1" customWidth="1"/>
    <col min="1798" max="1800" width="11" style="243" customWidth="1"/>
    <col min="1801" max="1801" width="10.42578125" style="243" customWidth="1"/>
    <col min="1802" max="1802" width="9.7109375" style="243" customWidth="1"/>
    <col min="1803" max="1806" width="9.140625" style="243"/>
    <col min="1807" max="1807" width="9.7109375" style="243" bestFit="1" customWidth="1"/>
    <col min="1808" max="2048" width="9.140625" style="243"/>
    <col min="2049" max="2049" width="22.7109375" style="243" customWidth="1"/>
    <col min="2050" max="2050" width="11.140625" style="243" customWidth="1"/>
    <col min="2051" max="2051" width="12.140625" style="243" customWidth="1"/>
    <col min="2052" max="2052" width="11" style="243" customWidth="1"/>
    <col min="2053" max="2053" width="10.140625" style="243" bestFit="1" customWidth="1"/>
    <col min="2054" max="2056" width="11" style="243" customWidth="1"/>
    <col min="2057" max="2057" width="10.42578125" style="243" customWidth="1"/>
    <col min="2058" max="2058" width="9.7109375" style="243" customWidth="1"/>
    <col min="2059" max="2062" width="9.140625" style="243"/>
    <col min="2063" max="2063" width="9.7109375" style="243" bestFit="1" customWidth="1"/>
    <col min="2064" max="2304" width="9.140625" style="243"/>
    <col min="2305" max="2305" width="22.7109375" style="243" customWidth="1"/>
    <col min="2306" max="2306" width="11.140625" style="243" customWidth="1"/>
    <col min="2307" max="2307" width="12.140625" style="243" customWidth="1"/>
    <col min="2308" max="2308" width="11" style="243" customWidth="1"/>
    <col min="2309" max="2309" width="10.140625" style="243" bestFit="1" customWidth="1"/>
    <col min="2310" max="2312" width="11" style="243" customWidth="1"/>
    <col min="2313" max="2313" width="10.42578125" style="243" customWidth="1"/>
    <col min="2314" max="2314" width="9.7109375" style="243" customWidth="1"/>
    <col min="2315" max="2318" width="9.140625" style="243"/>
    <col min="2319" max="2319" width="9.7109375" style="243" bestFit="1" customWidth="1"/>
    <col min="2320" max="2560" width="9.140625" style="243"/>
    <col min="2561" max="2561" width="22.7109375" style="243" customWidth="1"/>
    <col min="2562" max="2562" width="11.140625" style="243" customWidth="1"/>
    <col min="2563" max="2563" width="12.140625" style="243" customWidth="1"/>
    <col min="2564" max="2564" width="11" style="243" customWidth="1"/>
    <col min="2565" max="2565" width="10.140625" style="243" bestFit="1" customWidth="1"/>
    <col min="2566" max="2568" width="11" style="243" customWidth="1"/>
    <col min="2569" max="2569" width="10.42578125" style="243" customWidth="1"/>
    <col min="2570" max="2570" width="9.7109375" style="243" customWidth="1"/>
    <col min="2571" max="2574" width="9.140625" style="243"/>
    <col min="2575" max="2575" width="9.7109375" style="243" bestFit="1" customWidth="1"/>
    <col min="2576" max="2816" width="9.140625" style="243"/>
    <col min="2817" max="2817" width="22.7109375" style="243" customWidth="1"/>
    <col min="2818" max="2818" width="11.140625" style="243" customWidth="1"/>
    <col min="2819" max="2819" width="12.140625" style="243" customWidth="1"/>
    <col min="2820" max="2820" width="11" style="243" customWidth="1"/>
    <col min="2821" max="2821" width="10.140625" style="243" bestFit="1" customWidth="1"/>
    <col min="2822" max="2824" width="11" style="243" customWidth="1"/>
    <col min="2825" max="2825" width="10.42578125" style="243" customWidth="1"/>
    <col min="2826" max="2826" width="9.7109375" style="243" customWidth="1"/>
    <col min="2827" max="2830" width="9.140625" style="243"/>
    <col min="2831" max="2831" width="9.7109375" style="243" bestFit="1" customWidth="1"/>
    <col min="2832" max="3072" width="9.140625" style="243"/>
    <col min="3073" max="3073" width="22.7109375" style="243" customWidth="1"/>
    <col min="3074" max="3074" width="11.140625" style="243" customWidth="1"/>
    <col min="3075" max="3075" width="12.140625" style="243" customWidth="1"/>
    <col min="3076" max="3076" width="11" style="243" customWidth="1"/>
    <col min="3077" max="3077" width="10.140625" style="243" bestFit="1" customWidth="1"/>
    <col min="3078" max="3080" width="11" style="243" customWidth="1"/>
    <col min="3081" max="3081" width="10.42578125" style="243" customWidth="1"/>
    <col min="3082" max="3082" width="9.7109375" style="243" customWidth="1"/>
    <col min="3083" max="3086" width="9.140625" style="243"/>
    <col min="3087" max="3087" width="9.7109375" style="243" bestFit="1" customWidth="1"/>
    <col min="3088" max="3328" width="9.140625" style="243"/>
    <col min="3329" max="3329" width="22.7109375" style="243" customWidth="1"/>
    <col min="3330" max="3330" width="11.140625" style="243" customWidth="1"/>
    <col min="3331" max="3331" width="12.140625" style="243" customWidth="1"/>
    <col min="3332" max="3332" width="11" style="243" customWidth="1"/>
    <col min="3333" max="3333" width="10.140625" style="243" bestFit="1" customWidth="1"/>
    <col min="3334" max="3336" width="11" style="243" customWidth="1"/>
    <col min="3337" max="3337" width="10.42578125" style="243" customWidth="1"/>
    <col min="3338" max="3338" width="9.7109375" style="243" customWidth="1"/>
    <col min="3339" max="3342" width="9.140625" style="243"/>
    <col min="3343" max="3343" width="9.7109375" style="243" bestFit="1" customWidth="1"/>
    <col min="3344" max="3584" width="9.140625" style="243"/>
    <col min="3585" max="3585" width="22.7109375" style="243" customWidth="1"/>
    <col min="3586" max="3586" width="11.140625" style="243" customWidth="1"/>
    <col min="3587" max="3587" width="12.140625" style="243" customWidth="1"/>
    <col min="3588" max="3588" width="11" style="243" customWidth="1"/>
    <col min="3589" max="3589" width="10.140625" style="243" bestFit="1" customWidth="1"/>
    <col min="3590" max="3592" width="11" style="243" customWidth="1"/>
    <col min="3593" max="3593" width="10.42578125" style="243" customWidth="1"/>
    <col min="3594" max="3594" width="9.7109375" style="243" customWidth="1"/>
    <col min="3595" max="3598" width="9.140625" style="243"/>
    <col min="3599" max="3599" width="9.7109375" style="243" bestFit="1" customWidth="1"/>
    <col min="3600" max="3840" width="9.140625" style="243"/>
    <col min="3841" max="3841" width="22.7109375" style="243" customWidth="1"/>
    <col min="3842" max="3842" width="11.140625" style="243" customWidth="1"/>
    <col min="3843" max="3843" width="12.140625" style="243" customWidth="1"/>
    <col min="3844" max="3844" width="11" style="243" customWidth="1"/>
    <col min="3845" max="3845" width="10.140625" style="243" bestFit="1" customWidth="1"/>
    <col min="3846" max="3848" width="11" style="243" customWidth="1"/>
    <col min="3849" max="3849" width="10.42578125" style="243" customWidth="1"/>
    <col min="3850" max="3850" width="9.7109375" style="243" customWidth="1"/>
    <col min="3851" max="3854" width="9.140625" style="243"/>
    <col min="3855" max="3855" width="9.7109375" style="243" bestFit="1" customWidth="1"/>
    <col min="3856" max="4096" width="9.140625" style="243"/>
    <col min="4097" max="4097" width="22.7109375" style="243" customWidth="1"/>
    <col min="4098" max="4098" width="11.140625" style="243" customWidth="1"/>
    <col min="4099" max="4099" width="12.140625" style="243" customWidth="1"/>
    <col min="4100" max="4100" width="11" style="243" customWidth="1"/>
    <col min="4101" max="4101" width="10.140625" style="243" bestFit="1" customWidth="1"/>
    <col min="4102" max="4104" width="11" style="243" customWidth="1"/>
    <col min="4105" max="4105" width="10.42578125" style="243" customWidth="1"/>
    <col min="4106" max="4106" width="9.7109375" style="243" customWidth="1"/>
    <col min="4107" max="4110" width="9.140625" style="243"/>
    <col min="4111" max="4111" width="9.7109375" style="243" bestFit="1" customWidth="1"/>
    <col min="4112" max="4352" width="9.140625" style="243"/>
    <col min="4353" max="4353" width="22.7109375" style="243" customWidth="1"/>
    <col min="4354" max="4354" width="11.140625" style="243" customWidth="1"/>
    <col min="4355" max="4355" width="12.140625" style="243" customWidth="1"/>
    <col min="4356" max="4356" width="11" style="243" customWidth="1"/>
    <col min="4357" max="4357" width="10.140625" style="243" bestFit="1" customWidth="1"/>
    <col min="4358" max="4360" width="11" style="243" customWidth="1"/>
    <col min="4361" max="4361" width="10.42578125" style="243" customWidth="1"/>
    <col min="4362" max="4362" width="9.7109375" style="243" customWidth="1"/>
    <col min="4363" max="4366" width="9.140625" style="243"/>
    <col min="4367" max="4367" width="9.7109375" style="243" bestFit="1" customWidth="1"/>
    <col min="4368" max="4608" width="9.140625" style="243"/>
    <col min="4609" max="4609" width="22.7109375" style="243" customWidth="1"/>
    <col min="4610" max="4610" width="11.140625" style="243" customWidth="1"/>
    <col min="4611" max="4611" width="12.140625" style="243" customWidth="1"/>
    <col min="4612" max="4612" width="11" style="243" customWidth="1"/>
    <col min="4613" max="4613" width="10.140625" style="243" bestFit="1" customWidth="1"/>
    <col min="4614" max="4616" width="11" style="243" customWidth="1"/>
    <col min="4617" max="4617" width="10.42578125" style="243" customWidth="1"/>
    <col min="4618" max="4618" width="9.7109375" style="243" customWidth="1"/>
    <col min="4619" max="4622" width="9.140625" style="243"/>
    <col min="4623" max="4623" width="9.7109375" style="243" bestFit="1" customWidth="1"/>
    <col min="4624" max="4864" width="9.140625" style="243"/>
    <col min="4865" max="4865" width="22.7109375" style="243" customWidth="1"/>
    <col min="4866" max="4866" width="11.140625" style="243" customWidth="1"/>
    <col min="4867" max="4867" width="12.140625" style="243" customWidth="1"/>
    <col min="4868" max="4868" width="11" style="243" customWidth="1"/>
    <col min="4869" max="4869" width="10.140625" style="243" bestFit="1" customWidth="1"/>
    <col min="4870" max="4872" width="11" style="243" customWidth="1"/>
    <col min="4873" max="4873" width="10.42578125" style="243" customWidth="1"/>
    <col min="4874" max="4874" width="9.7109375" style="243" customWidth="1"/>
    <col min="4875" max="4878" width="9.140625" style="243"/>
    <col min="4879" max="4879" width="9.7109375" style="243" bestFit="1" customWidth="1"/>
    <col min="4880" max="5120" width="9.140625" style="243"/>
    <col min="5121" max="5121" width="22.7109375" style="243" customWidth="1"/>
    <col min="5122" max="5122" width="11.140625" style="243" customWidth="1"/>
    <col min="5123" max="5123" width="12.140625" style="243" customWidth="1"/>
    <col min="5124" max="5124" width="11" style="243" customWidth="1"/>
    <col min="5125" max="5125" width="10.140625" style="243" bestFit="1" customWidth="1"/>
    <col min="5126" max="5128" width="11" style="243" customWidth="1"/>
    <col min="5129" max="5129" width="10.42578125" style="243" customWidth="1"/>
    <col min="5130" max="5130" width="9.7109375" style="243" customWidth="1"/>
    <col min="5131" max="5134" width="9.140625" style="243"/>
    <col min="5135" max="5135" width="9.7109375" style="243" bestFit="1" customWidth="1"/>
    <col min="5136" max="5376" width="9.140625" style="243"/>
    <col min="5377" max="5377" width="22.7109375" style="243" customWidth="1"/>
    <col min="5378" max="5378" width="11.140625" style="243" customWidth="1"/>
    <col min="5379" max="5379" width="12.140625" style="243" customWidth="1"/>
    <col min="5380" max="5380" width="11" style="243" customWidth="1"/>
    <col min="5381" max="5381" width="10.140625" style="243" bestFit="1" customWidth="1"/>
    <col min="5382" max="5384" width="11" style="243" customWidth="1"/>
    <col min="5385" max="5385" width="10.42578125" style="243" customWidth="1"/>
    <col min="5386" max="5386" width="9.7109375" style="243" customWidth="1"/>
    <col min="5387" max="5390" width="9.140625" style="243"/>
    <col min="5391" max="5391" width="9.7109375" style="243" bestFit="1" customWidth="1"/>
    <col min="5392" max="5632" width="9.140625" style="243"/>
    <col min="5633" max="5633" width="22.7109375" style="243" customWidth="1"/>
    <col min="5634" max="5634" width="11.140625" style="243" customWidth="1"/>
    <col min="5635" max="5635" width="12.140625" style="243" customWidth="1"/>
    <col min="5636" max="5636" width="11" style="243" customWidth="1"/>
    <col min="5637" max="5637" width="10.140625" style="243" bestFit="1" customWidth="1"/>
    <col min="5638" max="5640" width="11" style="243" customWidth="1"/>
    <col min="5641" max="5641" width="10.42578125" style="243" customWidth="1"/>
    <col min="5642" max="5642" width="9.7109375" style="243" customWidth="1"/>
    <col min="5643" max="5646" width="9.140625" style="243"/>
    <col min="5647" max="5647" width="9.7109375" style="243" bestFit="1" customWidth="1"/>
    <col min="5648" max="5888" width="9.140625" style="243"/>
    <col min="5889" max="5889" width="22.7109375" style="243" customWidth="1"/>
    <col min="5890" max="5890" width="11.140625" style="243" customWidth="1"/>
    <col min="5891" max="5891" width="12.140625" style="243" customWidth="1"/>
    <col min="5892" max="5892" width="11" style="243" customWidth="1"/>
    <col min="5893" max="5893" width="10.140625" style="243" bestFit="1" customWidth="1"/>
    <col min="5894" max="5896" width="11" style="243" customWidth="1"/>
    <col min="5897" max="5897" width="10.42578125" style="243" customWidth="1"/>
    <col min="5898" max="5898" width="9.7109375" style="243" customWidth="1"/>
    <col min="5899" max="5902" width="9.140625" style="243"/>
    <col min="5903" max="5903" width="9.7109375" style="243" bestFit="1" customWidth="1"/>
    <col min="5904" max="6144" width="9.140625" style="243"/>
    <col min="6145" max="6145" width="22.7109375" style="243" customWidth="1"/>
    <col min="6146" max="6146" width="11.140625" style="243" customWidth="1"/>
    <col min="6147" max="6147" width="12.140625" style="243" customWidth="1"/>
    <col min="6148" max="6148" width="11" style="243" customWidth="1"/>
    <col min="6149" max="6149" width="10.140625" style="243" bestFit="1" customWidth="1"/>
    <col min="6150" max="6152" width="11" style="243" customWidth="1"/>
    <col min="6153" max="6153" width="10.42578125" style="243" customWidth="1"/>
    <col min="6154" max="6154" width="9.7109375" style="243" customWidth="1"/>
    <col min="6155" max="6158" width="9.140625" style="243"/>
    <col min="6159" max="6159" width="9.7109375" style="243" bestFit="1" customWidth="1"/>
    <col min="6160" max="6400" width="9.140625" style="243"/>
    <col min="6401" max="6401" width="22.7109375" style="243" customWidth="1"/>
    <col min="6402" max="6402" width="11.140625" style="243" customWidth="1"/>
    <col min="6403" max="6403" width="12.140625" style="243" customWidth="1"/>
    <col min="6404" max="6404" width="11" style="243" customWidth="1"/>
    <col min="6405" max="6405" width="10.140625" style="243" bestFit="1" customWidth="1"/>
    <col min="6406" max="6408" width="11" style="243" customWidth="1"/>
    <col min="6409" max="6409" width="10.42578125" style="243" customWidth="1"/>
    <col min="6410" max="6410" width="9.7109375" style="243" customWidth="1"/>
    <col min="6411" max="6414" width="9.140625" style="243"/>
    <col min="6415" max="6415" width="9.7109375" style="243" bestFit="1" customWidth="1"/>
    <col min="6416" max="6656" width="9.140625" style="243"/>
    <col min="6657" max="6657" width="22.7109375" style="243" customWidth="1"/>
    <col min="6658" max="6658" width="11.140625" style="243" customWidth="1"/>
    <col min="6659" max="6659" width="12.140625" style="243" customWidth="1"/>
    <col min="6660" max="6660" width="11" style="243" customWidth="1"/>
    <col min="6661" max="6661" width="10.140625" style="243" bestFit="1" customWidth="1"/>
    <col min="6662" max="6664" width="11" style="243" customWidth="1"/>
    <col min="6665" max="6665" width="10.42578125" style="243" customWidth="1"/>
    <col min="6666" max="6666" width="9.7109375" style="243" customWidth="1"/>
    <col min="6667" max="6670" width="9.140625" style="243"/>
    <col min="6671" max="6671" width="9.7109375" style="243" bestFit="1" customWidth="1"/>
    <col min="6672" max="6912" width="9.140625" style="243"/>
    <col min="6913" max="6913" width="22.7109375" style="243" customWidth="1"/>
    <col min="6914" max="6914" width="11.140625" style="243" customWidth="1"/>
    <col min="6915" max="6915" width="12.140625" style="243" customWidth="1"/>
    <col min="6916" max="6916" width="11" style="243" customWidth="1"/>
    <col min="6917" max="6917" width="10.140625" style="243" bestFit="1" customWidth="1"/>
    <col min="6918" max="6920" width="11" style="243" customWidth="1"/>
    <col min="6921" max="6921" width="10.42578125" style="243" customWidth="1"/>
    <col min="6922" max="6922" width="9.7109375" style="243" customWidth="1"/>
    <col min="6923" max="6926" width="9.140625" style="243"/>
    <col min="6927" max="6927" width="9.7109375" style="243" bestFit="1" customWidth="1"/>
    <col min="6928" max="7168" width="9.140625" style="243"/>
    <col min="7169" max="7169" width="22.7109375" style="243" customWidth="1"/>
    <col min="7170" max="7170" width="11.140625" style="243" customWidth="1"/>
    <col min="7171" max="7171" width="12.140625" style="243" customWidth="1"/>
    <col min="7172" max="7172" width="11" style="243" customWidth="1"/>
    <col min="7173" max="7173" width="10.140625" style="243" bestFit="1" customWidth="1"/>
    <col min="7174" max="7176" width="11" style="243" customWidth="1"/>
    <col min="7177" max="7177" width="10.42578125" style="243" customWidth="1"/>
    <col min="7178" max="7178" width="9.7109375" style="243" customWidth="1"/>
    <col min="7179" max="7182" width="9.140625" style="243"/>
    <col min="7183" max="7183" width="9.7109375" style="243" bestFit="1" customWidth="1"/>
    <col min="7184" max="7424" width="9.140625" style="243"/>
    <col min="7425" max="7425" width="22.7109375" style="243" customWidth="1"/>
    <col min="7426" max="7426" width="11.140625" style="243" customWidth="1"/>
    <col min="7427" max="7427" width="12.140625" style="243" customWidth="1"/>
    <col min="7428" max="7428" width="11" style="243" customWidth="1"/>
    <col min="7429" max="7429" width="10.140625" style="243" bestFit="1" customWidth="1"/>
    <col min="7430" max="7432" width="11" style="243" customWidth="1"/>
    <col min="7433" max="7433" width="10.42578125" style="243" customWidth="1"/>
    <col min="7434" max="7434" width="9.7109375" style="243" customWidth="1"/>
    <col min="7435" max="7438" width="9.140625" style="243"/>
    <col min="7439" max="7439" width="9.7109375" style="243" bestFit="1" customWidth="1"/>
    <col min="7440" max="7680" width="9.140625" style="243"/>
    <col min="7681" max="7681" width="22.7109375" style="243" customWidth="1"/>
    <col min="7682" max="7682" width="11.140625" style="243" customWidth="1"/>
    <col min="7683" max="7683" width="12.140625" style="243" customWidth="1"/>
    <col min="7684" max="7684" width="11" style="243" customWidth="1"/>
    <col min="7685" max="7685" width="10.140625" style="243" bestFit="1" customWidth="1"/>
    <col min="7686" max="7688" width="11" style="243" customWidth="1"/>
    <col min="7689" max="7689" width="10.42578125" style="243" customWidth="1"/>
    <col min="7690" max="7690" width="9.7109375" style="243" customWidth="1"/>
    <col min="7691" max="7694" width="9.140625" style="243"/>
    <col min="7695" max="7695" width="9.7109375" style="243" bestFit="1" customWidth="1"/>
    <col min="7696" max="7936" width="9.140625" style="243"/>
    <col min="7937" max="7937" width="22.7109375" style="243" customWidth="1"/>
    <col min="7938" max="7938" width="11.140625" style="243" customWidth="1"/>
    <col min="7939" max="7939" width="12.140625" style="243" customWidth="1"/>
    <col min="7940" max="7940" width="11" style="243" customWidth="1"/>
    <col min="7941" max="7941" width="10.140625" style="243" bestFit="1" customWidth="1"/>
    <col min="7942" max="7944" width="11" style="243" customWidth="1"/>
    <col min="7945" max="7945" width="10.42578125" style="243" customWidth="1"/>
    <col min="7946" max="7946" width="9.7109375" style="243" customWidth="1"/>
    <col min="7947" max="7950" width="9.140625" style="243"/>
    <col min="7951" max="7951" width="9.7109375" style="243" bestFit="1" customWidth="1"/>
    <col min="7952" max="8192" width="9.140625" style="243"/>
    <col min="8193" max="8193" width="22.7109375" style="243" customWidth="1"/>
    <col min="8194" max="8194" width="11.140625" style="243" customWidth="1"/>
    <col min="8195" max="8195" width="12.140625" style="243" customWidth="1"/>
    <col min="8196" max="8196" width="11" style="243" customWidth="1"/>
    <col min="8197" max="8197" width="10.140625" style="243" bestFit="1" customWidth="1"/>
    <col min="8198" max="8200" width="11" style="243" customWidth="1"/>
    <col min="8201" max="8201" width="10.42578125" style="243" customWidth="1"/>
    <col min="8202" max="8202" width="9.7109375" style="243" customWidth="1"/>
    <col min="8203" max="8206" width="9.140625" style="243"/>
    <col min="8207" max="8207" width="9.7109375" style="243" bestFit="1" customWidth="1"/>
    <col min="8208" max="8448" width="9.140625" style="243"/>
    <col min="8449" max="8449" width="22.7109375" style="243" customWidth="1"/>
    <col min="8450" max="8450" width="11.140625" style="243" customWidth="1"/>
    <col min="8451" max="8451" width="12.140625" style="243" customWidth="1"/>
    <col min="8452" max="8452" width="11" style="243" customWidth="1"/>
    <col min="8453" max="8453" width="10.140625" style="243" bestFit="1" customWidth="1"/>
    <col min="8454" max="8456" width="11" style="243" customWidth="1"/>
    <col min="8457" max="8457" width="10.42578125" style="243" customWidth="1"/>
    <col min="8458" max="8458" width="9.7109375" style="243" customWidth="1"/>
    <col min="8459" max="8462" width="9.140625" style="243"/>
    <col min="8463" max="8463" width="9.7109375" style="243" bestFit="1" customWidth="1"/>
    <col min="8464" max="8704" width="9.140625" style="243"/>
    <col min="8705" max="8705" width="22.7109375" style="243" customWidth="1"/>
    <col min="8706" max="8706" width="11.140625" style="243" customWidth="1"/>
    <col min="8707" max="8707" width="12.140625" style="243" customWidth="1"/>
    <col min="8708" max="8708" width="11" style="243" customWidth="1"/>
    <col min="8709" max="8709" width="10.140625" style="243" bestFit="1" customWidth="1"/>
    <col min="8710" max="8712" width="11" style="243" customWidth="1"/>
    <col min="8713" max="8713" width="10.42578125" style="243" customWidth="1"/>
    <col min="8714" max="8714" width="9.7109375" style="243" customWidth="1"/>
    <col min="8715" max="8718" width="9.140625" style="243"/>
    <col min="8719" max="8719" width="9.7109375" style="243" bestFit="1" customWidth="1"/>
    <col min="8720" max="8960" width="9.140625" style="243"/>
    <col min="8961" max="8961" width="22.7109375" style="243" customWidth="1"/>
    <col min="8962" max="8962" width="11.140625" style="243" customWidth="1"/>
    <col min="8963" max="8963" width="12.140625" style="243" customWidth="1"/>
    <col min="8964" max="8964" width="11" style="243" customWidth="1"/>
    <col min="8965" max="8965" width="10.140625" style="243" bestFit="1" customWidth="1"/>
    <col min="8966" max="8968" width="11" style="243" customWidth="1"/>
    <col min="8969" max="8969" width="10.42578125" style="243" customWidth="1"/>
    <col min="8970" max="8970" width="9.7109375" style="243" customWidth="1"/>
    <col min="8971" max="8974" width="9.140625" style="243"/>
    <col min="8975" max="8975" width="9.7109375" style="243" bestFit="1" customWidth="1"/>
    <col min="8976" max="9216" width="9.140625" style="243"/>
    <col min="9217" max="9217" width="22.7109375" style="243" customWidth="1"/>
    <col min="9218" max="9218" width="11.140625" style="243" customWidth="1"/>
    <col min="9219" max="9219" width="12.140625" style="243" customWidth="1"/>
    <col min="9220" max="9220" width="11" style="243" customWidth="1"/>
    <col min="9221" max="9221" width="10.140625" style="243" bestFit="1" customWidth="1"/>
    <col min="9222" max="9224" width="11" style="243" customWidth="1"/>
    <col min="9225" max="9225" width="10.42578125" style="243" customWidth="1"/>
    <col min="9226" max="9226" width="9.7109375" style="243" customWidth="1"/>
    <col min="9227" max="9230" width="9.140625" style="243"/>
    <col min="9231" max="9231" width="9.7109375" style="243" bestFit="1" customWidth="1"/>
    <col min="9232" max="9472" width="9.140625" style="243"/>
    <col min="9473" max="9473" width="22.7109375" style="243" customWidth="1"/>
    <col min="9474" max="9474" width="11.140625" style="243" customWidth="1"/>
    <col min="9475" max="9475" width="12.140625" style="243" customWidth="1"/>
    <col min="9476" max="9476" width="11" style="243" customWidth="1"/>
    <col min="9477" max="9477" width="10.140625" style="243" bestFit="1" customWidth="1"/>
    <col min="9478" max="9480" width="11" style="243" customWidth="1"/>
    <col min="9481" max="9481" width="10.42578125" style="243" customWidth="1"/>
    <col min="9482" max="9482" width="9.7109375" style="243" customWidth="1"/>
    <col min="9483" max="9486" width="9.140625" style="243"/>
    <col min="9487" max="9487" width="9.7109375" style="243" bestFit="1" customWidth="1"/>
    <col min="9488" max="9728" width="9.140625" style="243"/>
    <col min="9729" max="9729" width="22.7109375" style="243" customWidth="1"/>
    <col min="9730" max="9730" width="11.140625" style="243" customWidth="1"/>
    <col min="9731" max="9731" width="12.140625" style="243" customWidth="1"/>
    <col min="9732" max="9732" width="11" style="243" customWidth="1"/>
    <col min="9733" max="9733" width="10.140625" style="243" bestFit="1" customWidth="1"/>
    <col min="9734" max="9736" width="11" style="243" customWidth="1"/>
    <col min="9737" max="9737" width="10.42578125" style="243" customWidth="1"/>
    <col min="9738" max="9738" width="9.7109375" style="243" customWidth="1"/>
    <col min="9739" max="9742" width="9.140625" style="243"/>
    <col min="9743" max="9743" width="9.7109375" style="243" bestFit="1" customWidth="1"/>
    <col min="9744" max="9984" width="9.140625" style="243"/>
    <col min="9985" max="9985" width="22.7109375" style="243" customWidth="1"/>
    <col min="9986" max="9986" width="11.140625" style="243" customWidth="1"/>
    <col min="9987" max="9987" width="12.140625" style="243" customWidth="1"/>
    <col min="9988" max="9988" width="11" style="243" customWidth="1"/>
    <col min="9989" max="9989" width="10.140625" style="243" bestFit="1" customWidth="1"/>
    <col min="9990" max="9992" width="11" style="243" customWidth="1"/>
    <col min="9993" max="9993" width="10.42578125" style="243" customWidth="1"/>
    <col min="9994" max="9994" width="9.7109375" style="243" customWidth="1"/>
    <col min="9995" max="9998" width="9.140625" style="243"/>
    <col min="9999" max="9999" width="9.7109375" style="243" bestFit="1" customWidth="1"/>
    <col min="10000" max="10240" width="9.140625" style="243"/>
    <col min="10241" max="10241" width="22.7109375" style="243" customWidth="1"/>
    <col min="10242" max="10242" width="11.140625" style="243" customWidth="1"/>
    <col min="10243" max="10243" width="12.140625" style="243" customWidth="1"/>
    <col min="10244" max="10244" width="11" style="243" customWidth="1"/>
    <col min="10245" max="10245" width="10.140625" style="243" bestFit="1" customWidth="1"/>
    <col min="10246" max="10248" width="11" style="243" customWidth="1"/>
    <col min="10249" max="10249" width="10.42578125" style="243" customWidth="1"/>
    <col min="10250" max="10250" width="9.7109375" style="243" customWidth="1"/>
    <col min="10251" max="10254" width="9.140625" style="243"/>
    <col min="10255" max="10255" width="9.7109375" style="243" bestFit="1" customWidth="1"/>
    <col min="10256" max="10496" width="9.140625" style="243"/>
    <col min="10497" max="10497" width="22.7109375" style="243" customWidth="1"/>
    <col min="10498" max="10498" width="11.140625" style="243" customWidth="1"/>
    <col min="10499" max="10499" width="12.140625" style="243" customWidth="1"/>
    <col min="10500" max="10500" width="11" style="243" customWidth="1"/>
    <col min="10501" max="10501" width="10.140625" style="243" bestFit="1" customWidth="1"/>
    <col min="10502" max="10504" width="11" style="243" customWidth="1"/>
    <col min="10505" max="10505" width="10.42578125" style="243" customWidth="1"/>
    <col min="10506" max="10506" width="9.7109375" style="243" customWidth="1"/>
    <col min="10507" max="10510" width="9.140625" style="243"/>
    <col min="10511" max="10511" width="9.7109375" style="243" bestFit="1" customWidth="1"/>
    <col min="10512" max="10752" width="9.140625" style="243"/>
    <col min="10753" max="10753" width="22.7109375" style="243" customWidth="1"/>
    <col min="10754" max="10754" width="11.140625" style="243" customWidth="1"/>
    <col min="10755" max="10755" width="12.140625" style="243" customWidth="1"/>
    <col min="10756" max="10756" width="11" style="243" customWidth="1"/>
    <col min="10757" max="10757" width="10.140625" style="243" bestFit="1" customWidth="1"/>
    <col min="10758" max="10760" width="11" style="243" customWidth="1"/>
    <col min="10761" max="10761" width="10.42578125" style="243" customWidth="1"/>
    <col min="10762" max="10762" width="9.7109375" style="243" customWidth="1"/>
    <col min="10763" max="10766" width="9.140625" style="243"/>
    <col min="10767" max="10767" width="9.7109375" style="243" bestFit="1" customWidth="1"/>
    <col min="10768" max="11008" width="9.140625" style="243"/>
    <col min="11009" max="11009" width="22.7109375" style="243" customWidth="1"/>
    <col min="11010" max="11010" width="11.140625" style="243" customWidth="1"/>
    <col min="11011" max="11011" width="12.140625" style="243" customWidth="1"/>
    <col min="11012" max="11012" width="11" style="243" customWidth="1"/>
    <col min="11013" max="11013" width="10.140625" style="243" bestFit="1" customWidth="1"/>
    <col min="11014" max="11016" width="11" style="243" customWidth="1"/>
    <col min="11017" max="11017" width="10.42578125" style="243" customWidth="1"/>
    <col min="11018" max="11018" width="9.7109375" style="243" customWidth="1"/>
    <col min="11019" max="11022" width="9.140625" style="243"/>
    <col min="11023" max="11023" width="9.7109375" style="243" bestFit="1" customWidth="1"/>
    <col min="11024" max="11264" width="9.140625" style="243"/>
    <col min="11265" max="11265" width="22.7109375" style="243" customWidth="1"/>
    <col min="11266" max="11266" width="11.140625" style="243" customWidth="1"/>
    <col min="11267" max="11267" width="12.140625" style="243" customWidth="1"/>
    <col min="11268" max="11268" width="11" style="243" customWidth="1"/>
    <col min="11269" max="11269" width="10.140625" style="243" bestFit="1" customWidth="1"/>
    <col min="11270" max="11272" width="11" style="243" customWidth="1"/>
    <col min="11273" max="11273" width="10.42578125" style="243" customWidth="1"/>
    <col min="11274" max="11274" width="9.7109375" style="243" customWidth="1"/>
    <col min="11275" max="11278" width="9.140625" style="243"/>
    <col min="11279" max="11279" width="9.7109375" style="243" bestFit="1" customWidth="1"/>
    <col min="11280" max="11520" width="9.140625" style="243"/>
    <col min="11521" max="11521" width="22.7109375" style="243" customWidth="1"/>
    <col min="11522" max="11522" width="11.140625" style="243" customWidth="1"/>
    <col min="11523" max="11523" width="12.140625" style="243" customWidth="1"/>
    <col min="11524" max="11524" width="11" style="243" customWidth="1"/>
    <col min="11525" max="11525" width="10.140625" style="243" bestFit="1" customWidth="1"/>
    <col min="11526" max="11528" width="11" style="243" customWidth="1"/>
    <col min="11529" max="11529" width="10.42578125" style="243" customWidth="1"/>
    <col min="11530" max="11530" width="9.7109375" style="243" customWidth="1"/>
    <col min="11531" max="11534" width="9.140625" style="243"/>
    <col min="11535" max="11535" width="9.7109375" style="243" bestFit="1" customWidth="1"/>
    <col min="11536" max="11776" width="9.140625" style="243"/>
    <col min="11777" max="11777" width="22.7109375" style="243" customWidth="1"/>
    <col min="11778" max="11778" width="11.140625" style="243" customWidth="1"/>
    <col min="11779" max="11779" width="12.140625" style="243" customWidth="1"/>
    <col min="11780" max="11780" width="11" style="243" customWidth="1"/>
    <col min="11781" max="11781" width="10.140625" style="243" bestFit="1" customWidth="1"/>
    <col min="11782" max="11784" width="11" style="243" customWidth="1"/>
    <col min="11785" max="11785" width="10.42578125" style="243" customWidth="1"/>
    <col min="11786" max="11786" width="9.7109375" style="243" customWidth="1"/>
    <col min="11787" max="11790" width="9.140625" style="243"/>
    <col min="11791" max="11791" width="9.7109375" style="243" bestFit="1" customWidth="1"/>
    <col min="11792" max="12032" width="9.140625" style="243"/>
    <col min="12033" max="12033" width="22.7109375" style="243" customWidth="1"/>
    <col min="12034" max="12034" width="11.140625" style="243" customWidth="1"/>
    <col min="12035" max="12035" width="12.140625" style="243" customWidth="1"/>
    <col min="12036" max="12036" width="11" style="243" customWidth="1"/>
    <col min="12037" max="12037" width="10.140625" style="243" bestFit="1" customWidth="1"/>
    <col min="12038" max="12040" width="11" style="243" customWidth="1"/>
    <col min="12041" max="12041" width="10.42578125" style="243" customWidth="1"/>
    <col min="12042" max="12042" width="9.7109375" style="243" customWidth="1"/>
    <col min="12043" max="12046" width="9.140625" style="243"/>
    <col min="12047" max="12047" width="9.7109375" style="243" bestFit="1" customWidth="1"/>
    <col min="12048" max="12288" width="9.140625" style="243"/>
    <col min="12289" max="12289" width="22.7109375" style="243" customWidth="1"/>
    <col min="12290" max="12290" width="11.140625" style="243" customWidth="1"/>
    <col min="12291" max="12291" width="12.140625" style="243" customWidth="1"/>
    <col min="12292" max="12292" width="11" style="243" customWidth="1"/>
    <col min="12293" max="12293" width="10.140625" style="243" bestFit="1" customWidth="1"/>
    <col min="12294" max="12296" width="11" style="243" customWidth="1"/>
    <col min="12297" max="12297" width="10.42578125" style="243" customWidth="1"/>
    <col min="12298" max="12298" width="9.7109375" style="243" customWidth="1"/>
    <col min="12299" max="12302" width="9.140625" style="243"/>
    <col min="12303" max="12303" width="9.7109375" style="243" bestFit="1" customWidth="1"/>
    <col min="12304" max="12544" width="9.140625" style="243"/>
    <col min="12545" max="12545" width="22.7109375" style="243" customWidth="1"/>
    <col min="12546" max="12546" width="11.140625" style="243" customWidth="1"/>
    <col min="12547" max="12547" width="12.140625" style="243" customWidth="1"/>
    <col min="12548" max="12548" width="11" style="243" customWidth="1"/>
    <col min="12549" max="12549" width="10.140625" style="243" bestFit="1" customWidth="1"/>
    <col min="12550" max="12552" width="11" style="243" customWidth="1"/>
    <col min="12553" max="12553" width="10.42578125" style="243" customWidth="1"/>
    <col min="12554" max="12554" width="9.7109375" style="243" customWidth="1"/>
    <col min="12555" max="12558" width="9.140625" style="243"/>
    <col min="12559" max="12559" width="9.7109375" style="243" bestFit="1" customWidth="1"/>
    <col min="12560" max="12800" width="9.140625" style="243"/>
    <col min="12801" max="12801" width="22.7109375" style="243" customWidth="1"/>
    <col min="12802" max="12802" width="11.140625" style="243" customWidth="1"/>
    <col min="12803" max="12803" width="12.140625" style="243" customWidth="1"/>
    <col min="12804" max="12804" width="11" style="243" customWidth="1"/>
    <col min="12805" max="12805" width="10.140625" style="243" bestFit="1" customWidth="1"/>
    <col min="12806" max="12808" width="11" style="243" customWidth="1"/>
    <col min="12809" max="12809" width="10.42578125" style="243" customWidth="1"/>
    <col min="12810" max="12810" width="9.7109375" style="243" customWidth="1"/>
    <col min="12811" max="12814" width="9.140625" style="243"/>
    <col min="12815" max="12815" width="9.7109375" style="243" bestFit="1" customWidth="1"/>
    <col min="12816" max="13056" width="9.140625" style="243"/>
    <col min="13057" max="13057" width="22.7109375" style="243" customWidth="1"/>
    <col min="13058" max="13058" width="11.140625" style="243" customWidth="1"/>
    <col min="13059" max="13059" width="12.140625" style="243" customWidth="1"/>
    <col min="13060" max="13060" width="11" style="243" customWidth="1"/>
    <col min="13061" max="13061" width="10.140625" style="243" bestFit="1" customWidth="1"/>
    <col min="13062" max="13064" width="11" style="243" customWidth="1"/>
    <col min="13065" max="13065" width="10.42578125" style="243" customWidth="1"/>
    <col min="13066" max="13066" width="9.7109375" style="243" customWidth="1"/>
    <col min="13067" max="13070" width="9.140625" style="243"/>
    <col min="13071" max="13071" width="9.7109375" style="243" bestFit="1" customWidth="1"/>
    <col min="13072" max="13312" width="9.140625" style="243"/>
    <col min="13313" max="13313" width="22.7109375" style="243" customWidth="1"/>
    <col min="13314" max="13314" width="11.140625" style="243" customWidth="1"/>
    <col min="13315" max="13315" width="12.140625" style="243" customWidth="1"/>
    <col min="13316" max="13316" width="11" style="243" customWidth="1"/>
    <col min="13317" max="13317" width="10.140625" style="243" bestFit="1" customWidth="1"/>
    <col min="13318" max="13320" width="11" style="243" customWidth="1"/>
    <col min="13321" max="13321" width="10.42578125" style="243" customWidth="1"/>
    <col min="13322" max="13322" width="9.7109375" style="243" customWidth="1"/>
    <col min="13323" max="13326" width="9.140625" style="243"/>
    <col min="13327" max="13327" width="9.7109375" style="243" bestFit="1" customWidth="1"/>
    <col min="13328" max="13568" width="9.140625" style="243"/>
    <col min="13569" max="13569" width="22.7109375" style="243" customWidth="1"/>
    <col min="13570" max="13570" width="11.140625" style="243" customWidth="1"/>
    <col min="13571" max="13571" width="12.140625" style="243" customWidth="1"/>
    <col min="13572" max="13572" width="11" style="243" customWidth="1"/>
    <col min="13573" max="13573" width="10.140625" style="243" bestFit="1" customWidth="1"/>
    <col min="13574" max="13576" width="11" style="243" customWidth="1"/>
    <col min="13577" max="13577" width="10.42578125" style="243" customWidth="1"/>
    <col min="13578" max="13578" width="9.7109375" style="243" customWidth="1"/>
    <col min="13579" max="13582" width="9.140625" style="243"/>
    <col min="13583" max="13583" width="9.7109375" style="243" bestFit="1" customWidth="1"/>
    <col min="13584" max="13824" width="9.140625" style="243"/>
    <col min="13825" max="13825" width="22.7109375" style="243" customWidth="1"/>
    <col min="13826" max="13826" width="11.140625" style="243" customWidth="1"/>
    <col min="13827" max="13827" width="12.140625" style="243" customWidth="1"/>
    <col min="13828" max="13828" width="11" style="243" customWidth="1"/>
    <col min="13829" max="13829" width="10.140625" style="243" bestFit="1" customWidth="1"/>
    <col min="13830" max="13832" width="11" style="243" customWidth="1"/>
    <col min="13833" max="13833" width="10.42578125" style="243" customWidth="1"/>
    <col min="13834" max="13834" width="9.7109375" style="243" customWidth="1"/>
    <col min="13835" max="13838" width="9.140625" style="243"/>
    <col min="13839" max="13839" width="9.7109375" style="243" bestFit="1" customWidth="1"/>
    <col min="13840" max="14080" width="9.140625" style="243"/>
    <col min="14081" max="14081" width="22.7109375" style="243" customWidth="1"/>
    <col min="14082" max="14082" width="11.140625" style="243" customWidth="1"/>
    <col min="14083" max="14083" width="12.140625" style="243" customWidth="1"/>
    <col min="14084" max="14084" width="11" style="243" customWidth="1"/>
    <col min="14085" max="14085" width="10.140625" style="243" bestFit="1" customWidth="1"/>
    <col min="14086" max="14088" width="11" style="243" customWidth="1"/>
    <col min="14089" max="14089" width="10.42578125" style="243" customWidth="1"/>
    <col min="14090" max="14090" width="9.7109375" style="243" customWidth="1"/>
    <col min="14091" max="14094" width="9.140625" style="243"/>
    <col min="14095" max="14095" width="9.7109375" style="243" bestFit="1" customWidth="1"/>
    <col min="14096" max="14336" width="9.140625" style="243"/>
    <col min="14337" max="14337" width="22.7109375" style="243" customWidth="1"/>
    <col min="14338" max="14338" width="11.140625" style="243" customWidth="1"/>
    <col min="14339" max="14339" width="12.140625" style="243" customWidth="1"/>
    <col min="14340" max="14340" width="11" style="243" customWidth="1"/>
    <col min="14341" max="14341" width="10.140625" style="243" bestFit="1" customWidth="1"/>
    <col min="14342" max="14344" width="11" style="243" customWidth="1"/>
    <col min="14345" max="14345" width="10.42578125" style="243" customWidth="1"/>
    <col min="14346" max="14346" width="9.7109375" style="243" customWidth="1"/>
    <col min="14347" max="14350" width="9.140625" style="243"/>
    <col min="14351" max="14351" width="9.7109375" style="243" bestFit="1" customWidth="1"/>
    <col min="14352" max="14592" width="9.140625" style="243"/>
    <col min="14593" max="14593" width="22.7109375" style="243" customWidth="1"/>
    <col min="14594" max="14594" width="11.140625" style="243" customWidth="1"/>
    <col min="14595" max="14595" width="12.140625" style="243" customWidth="1"/>
    <col min="14596" max="14596" width="11" style="243" customWidth="1"/>
    <col min="14597" max="14597" width="10.140625" style="243" bestFit="1" customWidth="1"/>
    <col min="14598" max="14600" width="11" style="243" customWidth="1"/>
    <col min="14601" max="14601" width="10.42578125" style="243" customWidth="1"/>
    <col min="14602" max="14602" width="9.7109375" style="243" customWidth="1"/>
    <col min="14603" max="14606" width="9.140625" style="243"/>
    <col min="14607" max="14607" width="9.7109375" style="243" bestFit="1" customWidth="1"/>
    <col min="14608" max="14848" width="9.140625" style="243"/>
    <col min="14849" max="14849" width="22.7109375" style="243" customWidth="1"/>
    <col min="14850" max="14850" width="11.140625" style="243" customWidth="1"/>
    <col min="14851" max="14851" width="12.140625" style="243" customWidth="1"/>
    <col min="14852" max="14852" width="11" style="243" customWidth="1"/>
    <col min="14853" max="14853" width="10.140625" style="243" bestFit="1" customWidth="1"/>
    <col min="14854" max="14856" width="11" style="243" customWidth="1"/>
    <col min="14857" max="14857" width="10.42578125" style="243" customWidth="1"/>
    <col min="14858" max="14858" width="9.7109375" style="243" customWidth="1"/>
    <col min="14859" max="14862" width="9.140625" style="243"/>
    <col min="14863" max="14863" width="9.7109375" style="243" bestFit="1" customWidth="1"/>
    <col min="14864" max="15104" width="9.140625" style="243"/>
    <col min="15105" max="15105" width="22.7109375" style="243" customWidth="1"/>
    <col min="15106" max="15106" width="11.140625" style="243" customWidth="1"/>
    <col min="15107" max="15107" width="12.140625" style="243" customWidth="1"/>
    <col min="15108" max="15108" width="11" style="243" customWidth="1"/>
    <col min="15109" max="15109" width="10.140625" style="243" bestFit="1" customWidth="1"/>
    <col min="15110" max="15112" width="11" style="243" customWidth="1"/>
    <col min="15113" max="15113" width="10.42578125" style="243" customWidth="1"/>
    <col min="15114" max="15114" width="9.7109375" style="243" customWidth="1"/>
    <col min="15115" max="15118" width="9.140625" style="243"/>
    <col min="15119" max="15119" width="9.7109375" style="243" bestFit="1" customWidth="1"/>
    <col min="15120" max="15360" width="9.140625" style="243"/>
    <col min="15361" max="15361" width="22.7109375" style="243" customWidth="1"/>
    <col min="15362" max="15362" width="11.140625" style="243" customWidth="1"/>
    <col min="15363" max="15363" width="12.140625" style="243" customWidth="1"/>
    <col min="15364" max="15364" width="11" style="243" customWidth="1"/>
    <col min="15365" max="15365" width="10.140625" style="243" bestFit="1" customWidth="1"/>
    <col min="15366" max="15368" width="11" style="243" customWidth="1"/>
    <col min="15369" max="15369" width="10.42578125" style="243" customWidth="1"/>
    <col min="15370" max="15370" width="9.7109375" style="243" customWidth="1"/>
    <col min="15371" max="15374" width="9.140625" style="243"/>
    <col min="15375" max="15375" width="9.7109375" style="243" bestFit="1" customWidth="1"/>
    <col min="15376" max="15616" width="9.140625" style="243"/>
    <col min="15617" max="15617" width="22.7109375" style="243" customWidth="1"/>
    <col min="15618" max="15618" width="11.140625" style="243" customWidth="1"/>
    <col min="15619" max="15619" width="12.140625" style="243" customWidth="1"/>
    <col min="15620" max="15620" width="11" style="243" customWidth="1"/>
    <col min="15621" max="15621" width="10.140625" style="243" bestFit="1" customWidth="1"/>
    <col min="15622" max="15624" width="11" style="243" customWidth="1"/>
    <col min="15625" max="15625" width="10.42578125" style="243" customWidth="1"/>
    <col min="15626" max="15626" width="9.7109375" style="243" customWidth="1"/>
    <col min="15627" max="15630" width="9.140625" style="243"/>
    <col min="15631" max="15631" width="9.7109375" style="243" bestFit="1" customWidth="1"/>
    <col min="15632" max="15872" width="9.140625" style="243"/>
    <col min="15873" max="15873" width="22.7109375" style="243" customWidth="1"/>
    <col min="15874" max="15874" width="11.140625" style="243" customWidth="1"/>
    <col min="15875" max="15875" width="12.140625" style="243" customWidth="1"/>
    <col min="15876" max="15876" width="11" style="243" customWidth="1"/>
    <col min="15877" max="15877" width="10.140625" style="243" bestFit="1" customWidth="1"/>
    <col min="15878" max="15880" width="11" style="243" customWidth="1"/>
    <col min="15881" max="15881" width="10.42578125" style="243" customWidth="1"/>
    <col min="15882" max="15882" width="9.7109375" style="243" customWidth="1"/>
    <col min="15883" max="15886" width="9.140625" style="243"/>
    <col min="15887" max="15887" width="9.7109375" style="243" bestFit="1" customWidth="1"/>
    <col min="15888" max="16128" width="9.140625" style="243"/>
    <col min="16129" max="16129" width="22.7109375" style="243" customWidth="1"/>
    <col min="16130" max="16130" width="11.140625" style="243" customWidth="1"/>
    <col min="16131" max="16131" width="12.140625" style="243" customWidth="1"/>
    <col min="16132" max="16132" width="11" style="243" customWidth="1"/>
    <col min="16133" max="16133" width="10.140625" style="243" bestFit="1" customWidth="1"/>
    <col min="16134" max="16136" width="11" style="243" customWidth="1"/>
    <col min="16137" max="16137" width="10.42578125" style="243" customWidth="1"/>
    <col min="16138" max="16138" width="9.7109375" style="243" customWidth="1"/>
    <col min="16139" max="16142" width="9.140625" style="243"/>
    <col min="16143" max="16143" width="9.7109375" style="243" bestFit="1" customWidth="1"/>
    <col min="16144" max="16384" width="9.140625" style="243"/>
  </cols>
  <sheetData>
    <row r="1" spans="1:15" x14ac:dyDescent="0.2">
      <c r="A1" s="241" t="s">
        <v>318</v>
      </c>
      <c r="B1" s="242"/>
      <c r="C1" s="242"/>
      <c r="D1" s="242"/>
      <c r="E1" s="242"/>
      <c r="F1" s="242"/>
      <c r="G1" s="242"/>
      <c r="H1" s="242"/>
      <c r="I1" s="242"/>
      <c r="J1" s="242"/>
      <c r="K1" s="242"/>
      <c r="L1" s="242"/>
      <c r="M1" s="242"/>
      <c r="N1" s="242"/>
      <c r="O1" s="242"/>
    </row>
    <row r="2" spans="1:15" x14ac:dyDescent="0.2">
      <c r="A2" s="241" t="s">
        <v>319</v>
      </c>
      <c r="B2" s="242"/>
      <c r="C2" s="242"/>
      <c r="D2" s="242"/>
      <c r="E2" s="242"/>
      <c r="F2" s="242"/>
      <c r="G2" s="242"/>
      <c r="H2" s="242"/>
      <c r="I2" s="242"/>
      <c r="J2" s="242"/>
      <c r="K2" s="242"/>
      <c r="L2" s="242"/>
      <c r="M2" s="242"/>
      <c r="N2" s="242"/>
      <c r="O2" s="242"/>
    </row>
    <row r="3" spans="1:15" x14ac:dyDescent="0.2">
      <c r="A3" s="244" t="s">
        <v>320</v>
      </c>
      <c r="B3" s="242"/>
      <c r="C3" s="242"/>
      <c r="D3" s="242"/>
      <c r="E3" s="242"/>
      <c r="F3" s="242"/>
      <c r="G3" s="242"/>
      <c r="H3" s="242"/>
      <c r="I3" s="242"/>
      <c r="J3" s="242"/>
      <c r="K3" s="242"/>
      <c r="L3" s="242"/>
      <c r="M3" s="242"/>
      <c r="N3" s="242"/>
      <c r="O3" s="242"/>
    </row>
    <row r="4" spans="1:15" x14ac:dyDescent="0.2">
      <c r="A4" s="244" t="s">
        <v>321</v>
      </c>
      <c r="B4" s="242"/>
      <c r="C4" s="242"/>
      <c r="D4" s="242"/>
      <c r="E4" s="242"/>
      <c r="F4" s="242"/>
      <c r="G4" s="242"/>
      <c r="H4" s="242"/>
      <c r="I4" s="242"/>
      <c r="J4" s="242"/>
      <c r="K4" s="242"/>
      <c r="L4" s="242"/>
      <c r="M4" s="242"/>
      <c r="N4" s="242"/>
      <c r="O4" s="242"/>
    </row>
    <row r="5" spans="1:15" x14ac:dyDescent="0.2">
      <c r="A5" s="244" t="s">
        <v>322</v>
      </c>
      <c r="B5" s="242"/>
      <c r="C5" s="242"/>
      <c r="D5" s="242"/>
      <c r="E5" s="242"/>
      <c r="F5" s="242"/>
      <c r="G5" s="242"/>
      <c r="H5" s="242"/>
      <c r="I5" s="242"/>
      <c r="J5" s="242"/>
      <c r="K5" s="242"/>
      <c r="L5" s="242"/>
      <c r="M5" s="242"/>
      <c r="N5" s="242"/>
      <c r="O5" s="242"/>
    </row>
    <row r="6" spans="1:15" x14ac:dyDescent="0.2">
      <c r="A6" s="244" t="s">
        <v>323</v>
      </c>
      <c r="B6" s="242"/>
      <c r="C6" s="242"/>
      <c r="D6" s="242"/>
      <c r="E6" s="242"/>
      <c r="F6" s="242"/>
      <c r="G6" s="242"/>
      <c r="H6" s="242"/>
      <c r="I6" s="242"/>
      <c r="J6" s="242"/>
      <c r="K6" s="242"/>
      <c r="L6" s="242"/>
      <c r="M6" s="242"/>
      <c r="N6" s="242"/>
      <c r="O6" s="242"/>
    </row>
    <row r="7" spans="1:15" x14ac:dyDescent="0.2">
      <c r="A7" s="244" t="s">
        <v>324</v>
      </c>
      <c r="B7" s="242"/>
      <c r="C7" s="242"/>
      <c r="D7" s="242"/>
      <c r="E7" s="242"/>
      <c r="F7" s="242"/>
      <c r="G7" s="242"/>
      <c r="H7" s="242"/>
      <c r="I7" s="242"/>
      <c r="J7" s="242"/>
      <c r="K7" s="242"/>
      <c r="L7" s="242"/>
      <c r="M7" s="242"/>
      <c r="N7" s="242"/>
      <c r="O7" s="242"/>
    </row>
    <row r="8" spans="1:15" x14ac:dyDescent="0.2">
      <c r="A8" s="244" t="s">
        <v>325</v>
      </c>
      <c r="B8" s="242"/>
      <c r="C8" s="242"/>
      <c r="D8" s="242"/>
      <c r="E8" s="242"/>
      <c r="F8" s="242"/>
      <c r="G8" s="242"/>
      <c r="H8" s="242"/>
      <c r="I8" s="242"/>
      <c r="J8" s="242"/>
      <c r="K8" s="242"/>
      <c r="L8" s="242"/>
      <c r="M8" s="242"/>
      <c r="N8" s="242"/>
      <c r="O8" s="242"/>
    </row>
    <row r="9" spans="1:15" x14ac:dyDescent="0.2">
      <c r="A9" s="245" t="s">
        <v>326</v>
      </c>
      <c r="B9" s="242"/>
      <c r="C9" s="242"/>
      <c r="D9" s="242"/>
      <c r="E9" s="242"/>
      <c r="F9" s="242"/>
      <c r="G9" s="242"/>
      <c r="H9" s="242"/>
      <c r="I9" s="242"/>
      <c r="J9" s="242"/>
      <c r="K9" s="242"/>
      <c r="L9" s="242"/>
      <c r="M9" s="242"/>
      <c r="N9" s="242"/>
      <c r="O9" s="242"/>
    </row>
    <row r="10" spans="1:15" x14ac:dyDescent="0.2">
      <c r="A10" s="245" t="s">
        <v>327</v>
      </c>
      <c r="B10" s="242"/>
      <c r="C10" s="242"/>
      <c r="D10" s="242"/>
      <c r="E10" s="242"/>
      <c r="F10" s="242"/>
      <c r="G10" s="242"/>
      <c r="H10" s="242"/>
      <c r="I10" s="242"/>
      <c r="J10" s="242"/>
      <c r="K10" s="242"/>
      <c r="L10" s="242"/>
      <c r="M10" s="242"/>
      <c r="N10" s="242"/>
      <c r="O10" s="242"/>
    </row>
    <row r="11" spans="1:15" x14ac:dyDescent="0.2">
      <c r="A11" s="244" t="s">
        <v>328</v>
      </c>
      <c r="B11" s="242"/>
      <c r="C11" s="242"/>
      <c r="D11" s="242"/>
      <c r="E11" s="242"/>
      <c r="F11" s="242"/>
      <c r="G11" s="242"/>
      <c r="H11" s="242"/>
      <c r="I11" s="242"/>
      <c r="J11" s="242"/>
      <c r="K11" s="242"/>
      <c r="L11" s="242"/>
      <c r="M11" s="242"/>
      <c r="N11" s="242"/>
      <c r="O11" s="242"/>
    </row>
    <row r="12" spans="1:15" x14ac:dyDescent="0.2">
      <c r="A12" s="244" t="s">
        <v>329</v>
      </c>
      <c r="B12" s="242"/>
      <c r="C12" s="242"/>
      <c r="D12" s="242"/>
      <c r="E12" s="242"/>
      <c r="F12" s="242"/>
      <c r="G12" s="242"/>
      <c r="H12" s="242"/>
      <c r="I12" s="242"/>
      <c r="J12" s="242"/>
      <c r="K12" s="242"/>
      <c r="L12" s="242"/>
      <c r="M12" s="242"/>
      <c r="N12" s="242"/>
      <c r="O12" s="242"/>
    </row>
    <row r="13" spans="1:15" x14ac:dyDescent="0.2">
      <c r="A13" s="244" t="s">
        <v>330</v>
      </c>
      <c r="B13" s="242"/>
      <c r="C13" s="242"/>
      <c r="D13" s="242"/>
      <c r="E13" s="242"/>
      <c r="F13" s="242"/>
      <c r="G13" s="242"/>
      <c r="H13" s="242"/>
      <c r="I13" s="242"/>
      <c r="J13" s="242"/>
      <c r="K13" s="242"/>
      <c r="L13" s="242"/>
      <c r="M13" s="242"/>
      <c r="N13" s="242"/>
      <c r="O13" s="242"/>
    </row>
    <row r="14" spans="1:15" s="246" customFormat="1" x14ac:dyDescent="0.2">
      <c r="A14" s="244" t="s">
        <v>331</v>
      </c>
      <c r="B14" s="244"/>
      <c r="C14" s="244"/>
      <c r="D14" s="244"/>
      <c r="E14" s="244"/>
      <c r="F14" s="244"/>
      <c r="G14" s="244"/>
      <c r="H14" s="244"/>
      <c r="I14" s="244"/>
      <c r="J14" s="244"/>
      <c r="K14" s="244"/>
      <c r="L14" s="244"/>
      <c r="M14" s="244"/>
      <c r="N14" s="244"/>
      <c r="O14" s="244"/>
    </row>
    <row r="15" spans="1:15" s="246" customFormat="1" x14ac:dyDescent="0.2">
      <c r="A15" s="244" t="s">
        <v>332</v>
      </c>
      <c r="B15" s="244"/>
      <c r="C15" s="244"/>
      <c r="D15" s="244"/>
      <c r="E15" s="244"/>
      <c r="F15" s="244"/>
      <c r="G15" s="244"/>
      <c r="H15" s="244"/>
      <c r="I15" s="244"/>
      <c r="J15" s="244"/>
      <c r="K15" s="244"/>
      <c r="L15" s="244"/>
      <c r="M15" s="244"/>
      <c r="N15" s="244"/>
      <c r="O15" s="244"/>
    </row>
    <row r="16" spans="1:15" s="246" customFormat="1" x14ac:dyDescent="0.2">
      <c r="A16" s="244" t="s">
        <v>333</v>
      </c>
      <c r="B16" s="244"/>
      <c r="C16" s="244"/>
      <c r="D16" s="244"/>
      <c r="E16" s="244"/>
      <c r="F16" s="244"/>
      <c r="G16" s="244"/>
      <c r="H16" s="244"/>
      <c r="I16" s="244"/>
      <c r="J16" s="244"/>
      <c r="K16" s="244"/>
      <c r="L16" s="244"/>
      <c r="M16" s="244"/>
      <c r="N16" s="244"/>
      <c r="O16" s="244"/>
    </row>
    <row r="17" spans="1:15" s="246" customFormat="1" x14ac:dyDescent="0.2">
      <c r="A17" s="244" t="s">
        <v>334</v>
      </c>
      <c r="B17" s="244"/>
      <c r="C17" s="244"/>
      <c r="D17" s="244"/>
      <c r="E17" s="244"/>
      <c r="F17" s="244"/>
      <c r="G17" s="244"/>
      <c r="H17" s="244"/>
      <c r="I17" s="244"/>
      <c r="J17" s="244"/>
      <c r="K17" s="244"/>
      <c r="L17" s="244"/>
      <c r="M17" s="244"/>
      <c r="N17" s="244"/>
      <c r="O17" s="244"/>
    </row>
    <row r="18" spans="1:15" s="246" customFormat="1" x14ac:dyDescent="0.2">
      <c r="A18" s="244" t="s">
        <v>335</v>
      </c>
      <c r="B18" s="244"/>
      <c r="C18" s="244"/>
      <c r="D18" s="244"/>
      <c r="E18" s="244"/>
      <c r="F18" s="244"/>
      <c r="G18" s="244"/>
      <c r="H18" s="244"/>
      <c r="I18" s="244"/>
      <c r="J18" s="244"/>
      <c r="K18" s="244"/>
      <c r="L18" s="244"/>
      <c r="M18" s="244"/>
      <c r="N18" s="244"/>
      <c r="O18" s="244"/>
    </row>
    <row r="19" spans="1:15" x14ac:dyDescent="0.2">
      <c r="A19" s="244" t="s">
        <v>336</v>
      </c>
      <c r="B19" s="242"/>
      <c r="C19" s="242"/>
      <c r="D19" s="242"/>
      <c r="E19" s="242"/>
      <c r="F19" s="242"/>
      <c r="G19" s="242"/>
      <c r="H19" s="242"/>
      <c r="I19" s="242"/>
      <c r="J19" s="242"/>
      <c r="K19" s="242"/>
      <c r="L19" s="242"/>
      <c r="M19" s="242"/>
      <c r="N19" s="242"/>
      <c r="O19" s="242"/>
    </row>
    <row r="20" spans="1:15" x14ac:dyDescent="0.2">
      <c r="A20" s="244" t="s">
        <v>337</v>
      </c>
      <c r="B20" s="242"/>
      <c r="C20" s="242"/>
      <c r="D20" s="242"/>
      <c r="E20" s="242"/>
      <c r="F20" s="242"/>
      <c r="G20" s="242"/>
      <c r="H20" s="242"/>
      <c r="I20" s="242"/>
      <c r="J20" s="242"/>
      <c r="K20" s="242"/>
      <c r="L20" s="242"/>
      <c r="M20" s="242"/>
      <c r="N20" s="242"/>
      <c r="O20" s="242"/>
    </row>
    <row r="21" spans="1:15" x14ac:dyDescent="0.2">
      <c r="A21" s="244" t="s">
        <v>338</v>
      </c>
      <c r="B21" s="242"/>
      <c r="C21" s="242"/>
      <c r="D21" s="242"/>
      <c r="E21" s="242"/>
      <c r="F21" s="242"/>
      <c r="G21" s="242"/>
      <c r="H21" s="242"/>
      <c r="I21" s="242"/>
      <c r="J21" s="242"/>
      <c r="K21" s="242"/>
      <c r="L21" s="242"/>
      <c r="M21" s="242"/>
      <c r="N21" s="242"/>
      <c r="O21" s="242"/>
    </row>
    <row r="22" spans="1:15" x14ac:dyDescent="0.2">
      <c r="A22" s="244" t="s">
        <v>339</v>
      </c>
      <c r="B22" s="242"/>
      <c r="C22" s="242"/>
      <c r="D22" s="242"/>
      <c r="E22" s="242"/>
      <c r="F22" s="242"/>
      <c r="G22" s="242"/>
      <c r="H22" s="242"/>
      <c r="I22" s="242"/>
      <c r="J22" s="242"/>
      <c r="K22" s="242"/>
      <c r="L22" s="242"/>
      <c r="M22" s="242"/>
      <c r="N22" s="242"/>
      <c r="O22" s="242"/>
    </row>
    <row r="23" spans="1:15" x14ac:dyDescent="0.2">
      <c r="A23" s="244" t="s">
        <v>340</v>
      </c>
      <c r="B23" s="242"/>
      <c r="C23" s="242"/>
      <c r="D23" s="242"/>
      <c r="E23" s="242"/>
      <c r="F23" s="242"/>
      <c r="G23" s="242"/>
      <c r="H23" s="242"/>
      <c r="I23" s="242"/>
      <c r="J23" s="242"/>
      <c r="K23" s="242"/>
      <c r="L23" s="242"/>
      <c r="M23" s="242"/>
      <c r="N23" s="242"/>
      <c r="O23" s="242"/>
    </row>
    <row r="24" spans="1:15" x14ac:dyDescent="0.2">
      <c r="A24" s="246"/>
    </row>
    <row r="25" spans="1:15" x14ac:dyDescent="0.2">
      <c r="L25" s="247">
        <v>49</v>
      </c>
      <c r="M25" s="248" t="s">
        <v>341</v>
      </c>
    </row>
    <row r="27" spans="1:15" s="250" customFormat="1" ht="89.25" x14ac:dyDescent="0.2">
      <c r="A27" s="249" t="s">
        <v>342</v>
      </c>
      <c r="B27" s="249" t="s">
        <v>343</v>
      </c>
      <c r="C27" s="250" t="s">
        <v>344</v>
      </c>
      <c r="D27" s="250" t="s">
        <v>345</v>
      </c>
      <c r="E27" s="251" t="s">
        <v>346</v>
      </c>
      <c r="F27" s="249" t="s">
        <v>347</v>
      </c>
      <c r="G27" s="251" t="s">
        <v>348</v>
      </c>
      <c r="H27" s="250" t="s">
        <v>349</v>
      </c>
      <c r="I27" s="250" t="s">
        <v>350</v>
      </c>
      <c r="J27" s="251" t="s">
        <v>351</v>
      </c>
      <c r="K27" s="251" t="s">
        <v>352</v>
      </c>
      <c r="L27" s="250" t="s">
        <v>353</v>
      </c>
      <c r="M27" s="252" t="s">
        <v>354</v>
      </c>
      <c r="N27" s="252" t="s">
        <v>355</v>
      </c>
      <c r="O27" s="252" t="s">
        <v>356</v>
      </c>
    </row>
    <row r="28" spans="1:15" x14ac:dyDescent="0.2">
      <c r="A28" s="253" t="s">
        <v>357</v>
      </c>
      <c r="B28" s="254">
        <v>300</v>
      </c>
      <c r="C28" s="255">
        <v>900</v>
      </c>
      <c r="D28" s="255">
        <v>0.75</v>
      </c>
      <c r="E28" s="254">
        <v>0</v>
      </c>
      <c r="F28" s="254">
        <v>0.3</v>
      </c>
      <c r="G28" s="256">
        <f>IF(E28&gt;0,E28,(C28*D28))</f>
        <v>675</v>
      </c>
      <c r="H28" s="257">
        <f>((F28/30000)*1000)*G28</f>
        <v>6.7499999999999991</v>
      </c>
      <c r="I28" s="258">
        <f>H28*$L$25</f>
        <v>330.74999999999994</v>
      </c>
      <c r="J28" s="259">
        <f>B28/200</f>
        <v>1.5</v>
      </c>
      <c r="K28" s="258">
        <f>J28*$L$25</f>
        <v>73.5</v>
      </c>
      <c r="L28" s="254">
        <v>0</v>
      </c>
      <c r="M28" s="260">
        <f>(G28*L28)/100+G28</f>
        <v>675</v>
      </c>
      <c r="N28" s="261">
        <f>((F28/30000)*1000)*M28+(J28*L28/100)+J28</f>
        <v>8.25</v>
      </c>
      <c r="O28" s="262">
        <f>N28*$L$25</f>
        <v>404.25</v>
      </c>
    </row>
    <row r="29" spans="1:15" x14ac:dyDescent="0.2">
      <c r="A29" s="253" t="s">
        <v>358</v>
      </c>
      <c r="B29" s="254">
        <v>300</v>
      </c>
      <c r="C29" s="255">
        <v>900</v>
      </c>
      <c r="D29" s="255">
        <v>0.75</v>
      </c>
      <c r="E29" s="254">
        <v>0</v>
      </c>
      <c r="F29" s="254">
        <v>0.3</v>
      </c>
      <c r="G29" s="256">
        <f t="shared" ref="G29:G32" si="0">IF(E29&gt;0,E29,(C29*D29))</f>
        <v>675</v>
      </c>
      <c r="H29" s="257">
        <f t="shared" ref="H29:H32" si="1">((F29/30000)*1000)*G29</f>
        <v>6.7499999999999991</v>
      </c>
      <c r="I29" s="258">
        <f>H29*$L$25</f>
        <v>330.74999999999994</v>
      </c>
      <c r="J29" s="259">
        <f t="shared" ref="J29:J31" si="2">B29/200</f>
        <v>1.5</v>
      </c>
      <c r="K29" s="258">
        <f t="shared" ref="K29:K32" si="3">J29*$L$25</f>
        <v>73.5</v>
      </c>
      <c r="L29" s="254">
        <v>0</v>
      </c>
      <c r="M29" s="260">
        <f>(G29*L29)/100+G29</f>
        <v>675</v>
      </c>
      <c r="N29" s="261">
        <f t="shared" ref="N29:N32" si="4">((F29/30000)*1000)*M29+(J29*L29/100)+J29</f>
        <v>8.25</v>
      </c>
      <c r="O29" s="262">
        <f t="shared" ref="O29:O32" si="5">N29*$L$25</f>
        <v>404.25</v>
      </c>
    </row>
    <row r="30" spans="1:15" x14ac:dyDescent="0.2">
      <c r="A30" s="253" t="s">
        <v>359</v>
      </c>
      <c r="B30" s="254">
        <v>300</v>
      </c>
      <c r="C30" s="255">
        <v>900</v>
      </c>
      <c r="D30" s="255">
        <v>0.75</v>
      </c>
      <c r="E30" s="254">
        <v>700</v>
      </c>
      <c r="F30" s="254">
        <v>0.3</v>
      </c>
      <c r="G30" s="256">
        <f t="shared" si="0"/>
        <v>700</v>
      </c>
      <c r="H30" s="257">
        <f t="shared" si="1"/>
        <v>6.9999999999999991</v>
      </c>
      <c r="I30" s="258">
        <f>H30*$L$25</f>
        <v>342.99999999999994</v>
      </c>
      <c r="J30" s="259">
        <f t="shared" si="2"/>
        <v>1.5</v>
      </c>
      <c r="K30" s="258">
        <f t="shared" si="3"/>
        <v>73.5</v>
      </c>
      <c r="L30" s="254">
        <v>10</v>
      </c>
      <c r="M30" s="260">
        <f>(G30*L30)/100+G30</f>
        <v>770</v>
      </c>
      <c r="N30" s="261">
        <f t="shared" si="4"/>
        <v>9.3499999999999979</v>
      </c>
      <c r="O30" s="262">
        <f t="shared" si="5"/>
        <v>458.14999999999992</v>
      </c>
    </row>
    <row r="31" spans="1:15" x14ac:dyDescent="0.2">
      <c r="A31" s="253" t="s">
        <v>360</v>
      </c>
      <c r="B31" s="254">
        <v>300</v>
      </c>
      <c r="C31" s="255"/>
      <c r="D31" s="255"/>
      <c r="E31" s="254">
        <v>3290</v>
      </c>
      <c r="F31" s="254">
        <v>0.3</v>
      </c>
      <c r="G31" s="256">
        <f t="shared" si="0"/>
        <v>3290</v>
      </c>
      <c r="H31" s="257">
        <f t="shared" si="1"/>
        <v>32.899999999999991</v>
      </c>
      <c r="I31" s="258">
        <f>H31*$L$25</f>
        <v>1612.0999999999997</v>
      </c>
      <c r="J31" s="259">
        <f t="shared" si="2"/>
        <v>1.5</v>
      </c>
      <c r="K31" s="258">
        <f t="shared" si="3"/>
        <v>73.5</v>
      </c>
      <c r="L31" s="254">
        <v>20</v>
      </c>
      <c r="M31" s="260">
        <f>(G31*L31)/100+G31</f>
        <v>3948</v>
      </c>
      <c r="N31" s="261">
        <f t="shared" si="4"/>
        <v>41.279999999999994</v>
      </c>
      <c r="O31" s="262">
        <f t="shared" si="5"/>
        <v>2022.7199999999998</v>
      </c>
    </row>
    <row r="32" spans="1:15" x14ac:dyDescent="0.2">
      <c r="A32" s="253" t="s">
        <v>361</v>
      </c>
      <c r="B32" s="254">
        <v>600</v>
      </c>
      <c r="C32" s="255"/>
      <c r="D32" s="255"/>
      <c r="E32" s="254">
        <v>8700</v>
      </c>
      <c r="F32" s="254">
        <v>0.3</v>
      </c>
      <c r="G32" s="256">
        <f t="shared" si="0"/>
        <v>8700</v>
      </c>
      <c r="H32" s="257">
        <f t="shared" si="1"/>
        <v>86.999999999999986</v>
      </c>
      <c r="I32" s="258">
        <f>H32*$L$25</f>
        <v>4262.9999999999991</v>
      </c>
      <c r="J32" s="259">
        <f>B32/200</f>
        <v>3</v>
      </c>
      <c r="K32" s="258">
        <f t="shared" si="3"/>
        <v>147</v>
      </c>
      <c r="L32" s="254">
        <v>0</v>
      </c>
      <c r="M32" s="260">
        <f>(G32*L32)/100+G32</f>
        <v>8700</v>
      </c>
      <c r="N32" s="261">
        <f t="shared" si="4"/>
        <v>89.999999999999986</v>
      </c>
      <c r="O32" s="262">
        <f t="shared" si="5"/>
        <v>4409.9999999999991</v>
      </c>
    </row>
    <row r="33" spans="1:15" x14ac:dyDescent="0.2">
      <c r="A33" s="263" t="s">
        <v>362</v>
      </c>
      <c r="B33" s="264"/>
      <c r="C33" s="264"/>
      <c r="D33" s="264"/>
      <c r="E33" s="264"/>
      <c r="F33" s="265"/>
      <c r="G33" s="266">
        <f>SUM(G28:G32)</f>
        <v>14040</v>
      </c>
      <c r="H33" s="267">
        <f t="shared" ref="H33:O33" si="6">SUM(H28:H32)</f>
        <v>140.39999999999998</v>
      </c>
      <c r="I33" s="268">
        <f t="shared" si="6"/>
        <v>6879.5999999999985</v>
      </c>
      <c r="J33" s="266">
        <f t="shared" si="6"/>
        <v>9</v>
      </c>
      <c r="K33" s="268">
        <f t="shared" si="6"/>
        <v>441</v>
      </c>
      <c r="L33" s="269"/>
      <c r="M33" s="266">
        <f t="shared" si="6"/>
        <v>14768</v>
      </c>
      <c r="N33" s="267">
        <f t="shared" si="6"/>
        <v>157.13</v>
      </c>
      <c r="O33" s="268">
        <f t="shared" si="6"/>
        <v>7699.369999999999</v>
      </c>
    </row>
    <row r="34" spans="1:15" ht="102" x14ac:dyDescent="0.2">
      <c r="A34" s="248" t="s">
        <v>363</v>
      </c>
      <c r="B34" s="243" t="s">
        <v>364</v>
      </c>
      <c r="C34" s="250" t="s">
        <v>365</v>
      </c>
      <c r="D34" s="250" t="s">
        <v>366</v>
      </c>
      <c r="E34" s="251" t="s">
        <v>367</v>
      </c>
      <c r="F34" s="249" t="s">
        <v>347</v>
      </c>
      <c r="G34" s="251" t="s">
        <v>348</v>
      </c>
      <c r="H34" s="250" t="s">
        <v>349</v>
      </c>
      <c r="I34" s="270" t="s">
        <v>350</v>
      </c>
      <c r="J34" s="271" t="s">
        <v>368</v>
      </c>
      <c r="K34" s="251" t="s">
        <v>352</v>
      </c>
      <c r="L34" s="251" t="s">
        <v>353</v>
      </c>
      <c r="M34" s="252" t="s">
        <v>354</v>
      </c>
      <c r="N34" s="252" t="s">
        <v>355</v>
      </c>
      <c r="O34" s="252" t="s">
        <v>356</v>
      </c>
    </row>
    <row r="35" spans="1:15" x14ac:dyDescent="0.2">
      <c r="A35" s="253" t="s">
        <v>369</v>
      </c>
      <c r="B35" s="254">
        <v>0.6</v>
      </c>
      <c r="C35" s="254">
        <v>0.3</v>
      </c>
      <c r="D35" s="254">
        <v>120</v>
      </c>
      <c r="E35" s="259">
        <f>B35*C35*D35</f>
        <v>21.599999999999998</v>
      </c>
      <c r="F35" s="254">
        <v>2</v>
      </c>
      <c r="G35" s="256">
        <f>E35</f>
        <v>21.599999999999998</v>
      </c>
      <c r="H35" s="272">
        <f>((F35/30000)*1000)*E35</f>
        <v>1.44</v>
      </c>
      <c r="I35" s="258">
        <f>H35*$L$25</f>
        <v>70.56</v>
      </c>
      <c r="J35" s="259">
        <f>D35/100</f>
        <v>1.2</v>
      </c>
      <c r="K35" s="258">
        <f>J35*$L$25</f>
        <v>58.8</v>
      </c>
      <c r="L35" s="254">
        <v>0</v>
      </c>
      <c r="M35" s="260">
        <f>(G35*L35)/100+G35</f>
        <v>21.599999999999998</v>
      </c>
      <c r="N35" s="261">
        <f>((F35/30000)*1000)*M35+(J35*L35/100)+J35</f>
        <v>2.6399999999999997</v>
      </c>
      <c r="O35" s="262">
        <f>N35*$L$25</f>
        <v>129.35999999999999</v>
      </c>
    </row>
    <row r="36" spans="1:15" x14ac:dyDescent="0.2">
      <c r="A36" s="253" t="s">
        <v>370</v>
      </c>
      <c r="B36" s="254">
        <v>0.4</v>
      </c>
      <c r="C36" s="254">
        <v>0.2</v>
      </c>
      <c r="D36" s="254">
        <f>85+135</f>
        <v>220</v>
      </c>
      <c r="E36" s="259">
        <f>B36*C36*D36</f>
        <v>17.600000000000005</v>
      </c>
      <c r="F36" s="254">
        <v>2</v>
      </c>
      <c r="G36" s="256">
        <f t="shared" ref="G36:G39" si="7">E36</f>
        <v>17.600000000000005</v>
      </c>
      <c r="H36" s="272">
        <f>((F36/30000)*1000)*E36</f>
        <v>1.1733333333333336</v>
      </c>
      <c r="I36" s="258">
        <f>H36*$L$25</f>
        <v>57.493333333333347</v>
      </c>
      <c r="J36" s="259">
        <f>D36/100</f>
        <v>2.2000000000000002</v>
      </c>
      <c r="K36" s="258">
        <f t="shared" ref="K36:K39" si="8">J36*$L$25</f>
        <v>107.80000000000001</v>
      </c>
      <c r="L36" s="254">
        <v>0</v>
      </c>
      <c r="M36" s="260">
        <f t="shared" ref="M36:M39" si="9">(G36*L36)/100+G36</f>
        <v>17.600000000000005</v>
      </c>
      <c r="N36" s="261">
        <f t="shared" ref="N36:N39" si="10">((F36/30000)*1000)*M36+(J36*L36/100)+J36</f>
        <v>3.373333333333334</v>
      </c>
      <c r="O36" s="262">
        <f t="shared" ref="O36:O40" si="11">N36*$L$25</f>
        <v>165.29333333333335</v>
      </c>
    </row>
    <row r="37" spans="1:15" x14ac:dyDescent="0.2">
      <c r="A37" s="253" t="s">
        <v>371</v>
      </c>
      <c r="B37" s="254">
        <v>0.8</v>
      </c>
      <c r="C37" s="254">
        <v>0.1</v>
      </c>
      <c r="D37" s="254">
        <v>180</v>
      </c>
      <c r="E37" s="259">
        <f>B37*C37*D37</f>
        <v>14.400000000000002</v>
      </c>
      <c r="F37" s="254">
        <v>2</v>
      </c>
      <c r="G37" s="256">
        <f t="shared" si="7"/>
        <v>14.400000000000002</v>
      </c>
      <c r="H37" s="272">
        <f t="shared" ref="H37:H39" si="12">((F37/30000)*1000)*E37</f>
        <v>0.96000000000000008</v>
      </c>
      <c r="I37" s="258">
        <f>H37*$L$25</f>
        <v>47.040000000000006</v>
      </c>
      <c r="J37" s="259">
        <f t="shared" ref="J37:J39" si="13">D37/100</f>
        <v>1.8</v>
      </c>
      <c r="K37" s="258">
        <f t="shared" si="8"/>
        <v>88.2</v>
      </c>
      <c r="L37" s="254">
        <v>10</v>
      </c>
      <c r="M37" s="260">
        <f t="shared" si="9"/>
        <v>15.840000000000003</v>
      </c>
      <c r="N37" s="261">
        <f t="shared" si="10"/>
        <v>3.0360000000000005</v>
      </c>
      <c r="O37" s="262">
        <f t="shared" si="11"/>
        <v>148.76400000000001</v>
      </c>
    </row>
    <row r="38" spans="1:15" x14ac:dyDescent="0.2">
      <c r="A38" s="253" t="s">
        <v>372</v>
      </c>
      <c r="B38" s="254">
        <v>0.6</v>
      </c>
      <c r="C38" s="254">
        <v>0.3</v>
      </c>
      <c r="D38" s="254">
        <v>120</v>
      </c>
      <c r="E38" s="259">
        <f>B38*C38*D38</f>
        <v>21.599999999999998</v>
      </c>
      <c r="F38" s="254">
        <v>2</v>
      </c>
      <c r="G38" s="256">
        <f t="shared" si="7"/>
        <v>21.599999999999998</v>
      </c>
      <c r="H38" s="272">
        <f t="shared" si="12"/>
        <v>1.44</v>
      </c>
      <c r="I38" s="258">
        <f>H38*$L$25</f>
        <v>70.56</v>
      </c>
      <c r="J38" s="259">
        <f t="shared" si="13"/>
        <v>1.2</v>
      </c>
      <c r="K38" s="258">
        <f t="shared" si="8"/>
        <v>58.8</v>
      </c>
      <c r="L38" s="254">
        <v>20</v>
      </c>
      <c r="M38" s="260">
        <f t="shared" si="9"/>
        <v>25.919999999999998</v>
      </c>
      <c r="N38" s="261">
        <f t="shared" si="10"/>
        <v>3.1679999999999997</v>
      </c>
      <c r="O38" s="262">
        <f t="shared" si="11"/>
        <v>155.232</v>
      </c>
    </row>
    <row r="39" spans="1:15" x14ac:dyDescent="0.2">
      <c r="A39" s="253" t="s">
        <v>373</v>
      </c>
      <c r="B39" s="254">
        <v>0.6</v>
      </c>
      <c r="C39" s="254">
        <v>0.2</v>
      </c>
      <c r="D39" s="254">
        <v>120</v>
      </c>
      <c r="E39" s="259">
        <f>B39*C39*D39</f>
        <v>14.399999999999999</v>
      </c>
      <c r="F39" s="254">
        <v>2</v>
      </c>
      <c r="G39" s="256">
        <f t="shared" si="7"/>
        <v>14.399999999999999</v>
      </c>
      <c r="H39" s="272">
        <f t="shared" si="12"/>
        <v>0.95999999999999985</v>
      </c>
      <c r="I39" s="258">
        <f>H39*$L$25</f>
        <v>47.039999999999992</v>
      </c>
      <c r="J39" s="259">
        <f t="shared" si="13"/>
        <v>1.2</v>
      </c>
      <c r="K39" s="258">
        <f t="shared" si="8"/>
        <v>58.8</v>
      </c>
      <c r="L39" s="254">
        <v>0</v>
      </c>
      <c r="M39" s="260">
        <f t="shared" si="9"/>
        <v>14.399999999999999</v>
      </c>
      <c r="N39" s="261">
        <f t="shared" si="10"/>
        <v>2.1599999999999997</v>
      </c>
      <c r="O39" s="262">
        <f t="shared" si="11"/>
        <v>105.83999999999999</v>
      </c>
    </row>
    <row r="40" spans="1:15" x14ac:dyDescent="0.2">
      <c r="A40" s="263" t="s">
        <v>362</v>
      </c>
      <c r="B40" s="264"/>
      <c r="C40" s="264"/>
      <c r="D40" s="264"/>
      <c r="E40" s="264"/>
      <c r="F40" s="273"/>
      <c r="G40" s="274">
        <f>SUM(G35:G39)</f>
        <v>89.6</v>
      </c>
      <c r="H40" s="275">
        <f>SUM(H35:H39)</f>
        <v>5.9733333333333336</v>
      </c>
      <c r="I40" s="258">
        <f>SUM(I35:I39)</f>
        <v>292.69333333333338</v>
      </c>
      <c r="J40" s="275">
        <f>J28+J32+J35+J36</f>
        <v>7.9</v>
      </c>
      <c r="K40" s="276">
        <f>SUM(K35:K39)</f>
        <v>372.40000000000003</v>
      </c>
      <c r="L40" s="277"/>
      <c r="M40" s="278">
        <f>SUM(M35:M39)</f>
        <v>95.360000000000014</v>
      </c>
      <c r="N40" s="275">
        <f>SUM(N35:N39)</f>
        <v>14.377333333333333</v>
      </c>
      <c r="O40" s="268">
        <f t="shared" si="11"/>
        <v>704.48933333333332</v>
      </c>
    </row>
    <row r="41" spans="1:15" ht="25.5" x14ac:dyDescent="0.2">
      <c r="A41" s="252" t="s">
        <v>374</v>
      </c>
      <c r="B41" s="257">
        <f>SUM(N28:N32)</f>
        <v>157.13</v>
      </c>
      <c r="F41" s="279"/>
      <c r="G41" s="279"/>
      <c r="H41" s="280"/>
      <c r="J41" s="280"/>
    </row>
    <row r="42" spans="1:15" ht="25.5" x14ac:dyDescent="0.2">
      <c r="A42" s="251" t="s">
        <v>375</v>
      </c>
      <c r="B42" s="261">
        <f>H40+J40</f>
        <v>13.873333333333335</v>
      </c>
      <c r="I42" s="272"/>
      <c r="K42" s="281"/>
      <c r="L42" s="281"/>
    </row>
    <row r="43" spans="1:15" ht="25.5" x14ac:dyDescent="0.2">
      <c r="A43" s="249" t="s">
        <v>376</v>
      </c>
      <c r="B43" s="261">
        <f>SUM(B41:B42)</f>
        <v>171.00333333333333</v>
      </c>
      <c r="I43" s="272"/>
      <c r="K43" s="281"/>
      <c r="L43" s="281"/>
    </row>
    <row r="44" spans="1:15" ht="25.5" x14ac:dyDescent="0.2">
      <c r="A44" s="251" t="s">
        <v>377</v>
      </c>
      <c r="B44" s="282">
        <f>I33+K33+I40+K40</f>
        <v>7985.6933333333318</v>
      </c>
    </row>
    <row r="45" spans="1:15" ht="25.5" x14ac:dyDescent="0.2">
      <c r="A45" s="249" t="s">
        <v>378</v>
      </c>
      <c r="B45" s="283">
        <f>O33+O40</f>
        <v>8403.859333333332</v>
      </c>
    </row>
    <row r="46" spans="1:15" x14ac:dyDescent="0.2">
      <c r="A46" s="249"/>
      <c r="B46" s="250"/>
      <c r="C46" s="250"/>
      <c r="D46" s="250"/>
      <c r="E46" s="250"/>
      <c r="F46" s="250"/>
      <c r="G46" s="250"/>
      <c r="H46" s="250"/>
      <c r="I46" s="250"/>
      <c r="J46" s="250"/>
      <c r="K46" s="250"/>
      <c r="L46" s="250"/>
      <c r="M46" s="250"/>
      <c r="N46" s="250"/>
    </row>
    <row r="47" spans="1:15" ht="15" x14ac:dyDescent="0.25">
      <c r="B47" s="284" t="s">
        <v>379</v>
      </c>
      <c r="E47" s="250"/>
      <c r="K47" s="281"/>
      <c r="L47" s="281"/>
      <c r="N47" s="281"/>
    </row>
    <row r="48" spans="1:15" ht="63.75" x14ac:dyDescent="0.2">
      <c r="B48" s="285" t="s">
        <v>380</v>
      </c>
      <c r="C48" s="250" t="s">
        <v>213</v>
      </c>
      <c r="D48" s="250" t="s">
        <v>212</v>
      </c>
      <c r="E48" s="250"/>
      <c r="I48" s="250"/>
      <c r="J48" s="250"/>
      <c r="K48" s="281"/>
      <c r="L48" s="281"/>
      <c r="N48" s="281"/>
    </row>
    <row r="49" spans="1:14" x14ac:dyDescent="0.2">
      <c r="B49" s="286">
        <v>0.1</v>
      </c>
      <c r="C49" s="287">
        <f t="shared" ref="C49:C55" si="14">($B49/30000)*1000</f>
        <v>3.3333333333333331E-3</v>
      </c>
      <c r="D49" s="288">
        <f t="shared" ref="D49:D55" si="15">C49*1000</f>
        <v>3.333333333333333</v>
      </c>
      <c r="E49" s="250"/>
      <c r="I49" s="287"/>
      <c r="J49" s="289"/>
    </row>
    <row r="50" spans="1:14" x14ac:dyDescent="0.2">
      <c r="B50" s="286">
        <v>0.2</v>
      </c>
      <c r="C50" s="287">
        <f t="shared" si="14"/>
        <v>6.6666666666666662E-3</v>
      </c>
      <c r="D50" s="288">
        <f t="shared" si="15"/>
        <v>6.6666666666666661</v>
      </c>
      <c r="E50" s="250"/>
      <c r="F50" s="250"/>
      <c r="G50" s="250"/>
      <c r="H50" s="250"/>
      <c r="I50" s="287"/>
      <c r="J50" s="289"/>
      <c r="K50" s="250"/>
      <c r="L50" s="250"/>
      <c r="M50" s="250"/>
      <c r="N50" s="250"/>
    </row>
    <row r="51" spans="1:14" x14ac:dyDescent="0.2">
      <c r="B51" s="286">
        <v>0.5</v>
      </c>
      <c r="C51" s="287">
        <f t="shared" si="14"/>
        <v>1.6666666666666666E-2</v>
      </c>
      <c r="D51" s="288">
        <f t="shared" si="15"/>
        <v>16.666666666666668</v>
      </c>
      <c r="E51" s="250"/>
      <c r="I51" s="287"/>
      <c r="J51" s="289"/>
      <c r="K51" s="281"/>
      <c r="L51" s="281"/>
      <c r="N51" s="281"/>
    </row>
    <row r="52" spans="1:14" x14ac:dyDescent="0.2">
      <c r="B52" s="286">
        <v>1</v>
      </c>
      <c r="C52" s="287">
        <f t="shared" si="14"/>
        <v>3.3333333333333333E-2</v>
      </c>
      <c r="D52" s="288">
        <f t="shared" si="15"/>
        <v>33.333333333333336</v>
      </c>
      <c r="E52" s="250"/>
      <c r="I52" s="287"/>
      <c r="J52" s="289"/>
      <c r="K52" s="281"/>
      <c r="L52" s="281"/>
      <c r="N52" s="281"/>
    </row>
    <row r="53" spans="1:14" x14ac:dyDescent="0.2">
      <c r="B53" s="286">
        <v>2</v>
      </c>
      <c r="C53" s="287">
        <f t="shared" si="14"/>
        <v>6.6666666666666666E-2</v>
      </c>
      <c r="D53" s="288">
        <f t="shared" si="15"/>
        <v>66.666666666666671</v>
      </c>
      <c r="E53" s="250"/>
      <c r="I53" s="287"/>
      <c r="J53" s="289"/>
    </row>
    <row r="54" spans="1:14" x14ac:dyDescent="0.2">
      <c r="B54" s="286">
        <v>5</v>
      </c>
      <c r="C54" s="287">
        <f t="shared" si="14"/>
        <v>0.16666666666666666</v>
      </c>
      <c r="D54" s="288">
        <f t="shared" si="15"/>
        <v>166.66666666666666</v>
      </c>
      <c r="E54" s="250"/>
      <c r="I54" s="287"/>
      <c r="J54" s="289"/>
      <c r="K54" s="281"/>
      <c r="L54" s="281"/>
    </row>
    <row r="55" spans="1:14" x14ac:dyDescent="0.2">
      <c r="A55" s="249"/>
      <c r="B55" s="254">
        <v>0.34</v>
      </c>
      <c r="C55" s="290">
        <f t="shared" si="14"/>
        <v>1.1333333333333334E-2</v>
      </c>
      <c r="D55" s="291">
        <f t="shared" si="15"/>
        <v>11.333333333333334</v>
      </c>
      <c r="E55" s="250"/>
    </row>
    <row r="56" spans="1:14" x14ac:dyDescent="0.2">
      <c r="B56" s="250"/>
      <c r="C56" s="250"/>
      <c r="D56" s="250"/>
      <c r="E56" s="250"/>
    </row>
    <row r="57" spans="1:14" x14ac:dyDescent="0.2">
      <c r="A57" s="249"/>
      <c r="B57" s="250"/>
      <c r="C57" s="250"/>
      <c r="D57" s="250"/>
      <c r="E57" s="250"/>
      <c r="F57" s="250"/>
      <c r="G57" s="250"/>
      <c r="H57" s="250"/>
      <c r="I57" s="250"/>
      <c r="J57" s="250"/>
      <c r="K57" s="250"/>
      <c r="L57" s="250"/>
      <c r="M57" s="250"/>
      <c r="N57" s="250"/>
    </row>
    <row r="58" spans="1:14" x14ac:dyDescent="0.2">
      <c r="B58" s="250"/>
      <c r="C58" s="250"/>
      <c r="D58" s="250"/>
      <c r="E58" s="250"/>
      <c r="I58" s="272"/>
      <c r="J58" s="292"/>
      <c r="K58" s="281"/>
      <c r="L58" s="281"/>
      <c r="N58" s="281"/>
    </row>
    <row r="59" spans="1:14" x14ac:dyDescent="0.2">
      <c r="B59" s="250"/>
      <c r="C59" s="250"/>
      <c r="D59" s="250"/>
      <c r="E59" s="250"/>
      <c r="I59" s="272"/>
      <c r="J59" s="292"/>
      <c r="K59" s="281"/>
      <c r="L59" s="281"/>
      <c r="N59" s="281"/>
    </row>
    <row r="60" spans="1:14" x14ac:dyDescent="0.2">
      <c r="B60" s="250"/>
      <c r="C60" s="250"/>
      <c r="D60" s="250"/>
      <c r="E60" s="250"/>
    </row>
    <row r="61" spans="1:14" x14ac:dyDescent="0.2">
      <c r="A61" s="248"/>
      <c r="B61" s="250"/>
      <c r="C61" s="250"/>
      <c r="D61" s="250"/>
      <c r="E61" s="250"/>
      <c r="F61" s="250"/>
      <c r="G61" s="250"/>
      <c r="H61" s="250"/>
      <c r="I61" s="250"/>
      <c r="J61" s="250"/>
      <c r="K61" s="250"/>
      <c r="L61" s="250"/>
      <c r="M61" s="250"/>
      <c r="N61" s="250"/>
    </row>
    <row r="62" spans="1:14" x14ac:dyDescent="0.2">
      <c r="B62" s="250"/>
      <c r="C62" s="250"/>
      <c r="D62" s="250"/>
      <c r="E62" s="250"/>
      <c r="I62" s="272"/>
      <c r="J62" s="292"/>
      <c r="K62" s="281"/>
      <c r="L62" s="281"/>
      <c r="N62" s="281"/>
    </row>
    <row r="63" spans="1:14" x14ac:dyDescent="0.2">
      <c r="B63" s="250"/>
      <c r="C63" s="250"/>
      <c r="D63" s="250"/>
      <c r="E63" s="250"/>
      <c r="I63" s="272"/>
      <c r="J63" s="292"/>
      <c r="K63" s="281"/>
      <c r="L63" s="281"/>
      <c r="N63" s="281"/>
    </row>
    <row r="64" spans="1:14" x14ac:dyDescent="0.2">
      <c r="I64" s="280"/>
    </row>
    <row r="65" spans="1:12" x14ac:dyDescent="0.2">
      <c r="A65" s="248"/>
      <c r="B65" s="293"/>
      <c r="I65" s="272"/>
      <c r="K65" s="281"/>
      <c r="L65" s="281"/>
    </row>
    <row r="66" spans="1:12" x14ac:dyDescent="0.2">
      <c r="A66" s="249"/>
      <c r="B66" s="293"/>
    </row>
    <row r="69" spans="1:12" x14ac:dyDescent="0.2">
      <c r="A69" s="248"/>
    </row>
    <row r="72" spans="1:12" x14ac:dyDescent="0.2">
      <c r="A72" s="250"/>
      <c r="C72" s="250"/>
      <c r="E72" s="250"/>
      <c r="F72" s="250"/>
      <c r="G72" s="250"/>
      <c r="H72" s="250"/>
      <c r="I72" s="250"/>
      <c r="J72" s="250"/>
      <c r="K72" s="250"/>
      <c r="L72" s="250"/>
    </row>
    <row r="73" spans="1:12" x14ac:dyDescent="0.2">
      <c r="A73" s="272"/>
      <c r="E73" s="294"/>
      <c r="F73" s="295"/>
      <c r="G73" s="295"/>
      <c r="H73" s="295"/>
    </row>
    <row r="74" spans="1:12" x14ac:dyDescent="0.2">
      <c r="A74" s="272"/>
      <c r="E74" s="294"/>
      <c r="F74" s="295"/>
      <c r="G74" s="295"/>
      <c r="H74" s="295"/>
    </row>
    <row r="75" spans="1:12" x14ac:dyDescent="0.2">
      <c r="A75" s="272"/>
      <c r="E75" s="294"/>
      <c r="F75" s="295"/>
      <c r="G75" s="295"/>
      <c r="H75" s="295"/>
    </row>
    <row r="76" spans="1:12" x14ac:dyDescent="0.2">
      <c r="E76" s="294"/>
      <c r="F76" s="295"/>
      <c r="G76" s="295"/>
      <c r="H76" s="295"/>
    </row>
    <row r="77" spans="1:12" x14ac:dyDescent="0.2">
      <c r="E77" s="294"/>
      <c r="F77" s="295"/>
      <c r="G77" s="295"/>
      <c r="H77" s="295"/>
    </row>
  </sheetData>
  <pageMargins left="0.75" right="0.75" top="1" bottom="1" header="0.5" footer="0.5"/>
  <pageSetup paperSize="9" orientation="portrait" verticalDpi="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50"/>
  <sheetViews>
    <sheetView topLeftCell="A10" zoomScale="76" zoomScaleNormal="76" workbookViewId="0"/>
  </sheetViews>
  <sheetFormatPr defaultRowHeight="15" x14ac:dyDescent="0.25"/>
  <cols>
    <col min="2" max="2" width="29.140625" customWidth="1"/>
    <col min="3" max="3" width="20.85546875" customWidth="1"/>
    <col min="4" max="4" width="9.85546875" customWidth="1"/>
    <col min="5" max="5" width="15.140625" customWidth="1"/>
    <col min="6" max="7" width="9.140625" customWidth="1"/>
    <col min="8" max="8" width="14.42578125" customWidth="1"/>
    <col min="9" max="10" width="9.140625" customWidth="1"/>
    <col min="11" max="11" width="13.5703125" customWidth="1"/>
    <col min="12" max="12" width="9.140625" customWidth="1"/>
    <col min="13" max="13" width="9.85546875" customWidth="1"/>
    <col min="14" max="14" width="13.5703125" customWidth="1"/>
    <col min="17" max="17" width="16.5703125" customWidth="1"/>
    <col min="20" max="20" width="16.7109375" customWidth="1"/>
  </cols>
  <sheetData>
    <row r="2" spans="2:25" ht="23.25" x14ac:dyDescent="0.35">
      <c r="E2" s="216" t="s">
        <v>292</v>
      </c>
      <c r="F2" s="216"/>
      <c r="G2" s="216"/>
      <c r="H2" s="216"/>
      <c r="I2" s="216"/>
      <c r="J2" s="216"/>
      <c r="K2" s="216"/>
      <c r="L2" s="216"/>
      <c r="M2" s="216"/>
      <c r="N2" s="216"/>
      <c r="O2" s="216"/>
      <c r="P2" s="216"/>
      <c r="Q2" s="216"/>
      <c r="R2" s="216"/>
      <c r="S2" s="216"/>
    </row>
    <row r="3" spans="2:25" ht="18.75" x14ac:dyDescent="0.3">
      <c r="E3" s="217" t="s">
        <v>291</v>
      </c>
      <c r="F3" s="218"/>
      <c r="G3" s="218"/>
      <c r="H3" s="218"/>
      <c r="I3" s="218"/>
      <c r="J3" s="218"/>
      <c r="K3" s="218"/>
      <c r="L3" s="218"/>
      <c r="M3" s="219"/>
      <c r="N3" s="217" t="s">
        <v>290</v>
      </c>
      <c r="O3" s="218"/>
      <c r="P3" s="218"/>
      <c r="Q3" s="218"/>
      <c r="R3" s="218"/>
      <c r="S3" s="219"/>
    </row>
    <row r="4" spans="2:25" ht="15.75" thickBot="1" x14ac:dyDescent="0.3">
      <c r="B4" s="101"/>
      <c r="C4" s="101"/>
      <c r="D4" s="101"/>
      <c r="E4" s="220" t="s">
        <v>289</v>
      </c>
      <c r="F4" s="221"/>
      <c r="G4" s="222"/>
      <c r="H4" s="220" t="s">
        <v>288</v>
      </c>
      <c r="I4" s="223"/>
      <c r="J4" s="224"/>
      <c r="K4" s="220" t="s">
        <v>287</v>
      </c>
      <c r="L4" s="223"/>
      <c r="M4" s="224"/>
      <c r="N4" s="130" t="s">
        <v>225</v>
      </c>
      <c r="O4" s="129" t="s">
        <v>6</v>
      </c>
      <c r="P4" s="128">
        <v>3.6</v>
      </c>
      <c r="Q4" s="130" t="s">
        <v>286</v>
      </c>
      <c r="R4" s="129" t="s">
        <v>6</v>
      </c>
      <c r="S4" s="128">
        <v>7.75</v>
      </c>
      <c r="T4" s="98"/>
      <c r="U4" s="53"/>
      <c r="V4" s="53"/>
      <c r="W4" s="53"/>
      <c r="X4" s="52"/>
      <c r="Y4" s="98"/>
    </row>
    <row r="5" spans="2:25" x14ac:dyDescent="0.25">
      <c r="B5" s="26"/>
      <c r="C5" s="26"/>
      <c r="D5" s="26"/>
      <c r="E5" s="93" t="s">
        <v>285</v>
      </c>
      <c r="F5" s="96" t="s">
        <v>284</v>
      </c>
      <c r="G5" s="127" t="s">
        <v>283</v>
      </c>
      <c r="H5" s="93" t="s">
        <v>285</v>
      </c>
      <c r="I5" s="96" t="s">
        <v>284</v>
      </c>
      <c r="J5" s="127" t="s">
        <v>283</v>
      </c>
      <c r="K5" s="93" t="s">
        <v>285</v>
      </c>
      <c r="L5" s="96" t="s">
        <v>284</v>
      </c>
      <c r="M5" s="127" t="s">
        <v>283</v>
      </c>
      <c r="N5" s="93" t="s">
        <v>285</v>
      </c>
      <c r="O5" s="96" t="s">
        <v>284</v>
      </c>
      <c r="P5" s="127" t="s">
        <v>283</v>
      </c>
      <c r="Q5" s="93" t="s">
        <v>285</v>
      </c>
      <c r="R5" s="96" t="s">
        <v>284</v>
      </c>
      <c r="S5" s="127" t="s">
        <v>283</v>
      </c>
      <c r="T5" s="49"/>
      <c r="U5" s="26"/>
      <c r="V5" s="26"/>
      <c r="W5" s="26"/>
      <c r="X5" s="48"/>
      <c r="Y5" s="49"/>
    </row>
    <row r="6" spans="2:25" x14ac:dyDescent="0.25">
      <c r="B6" t="s">
        <v>282</v>
      </c>
      <c r="C6" t="s">
        <v>252</v>
      </c>
      <c r="E6" s="114">
        <f>F6*C67+G6*C68</f>
        <v>800</v>
      </c>
      <c r="F6" s="113">
        <v>2</v>
      </c>
      <c r="G6" s="112"/>
      <c r="H6" s="114">
        <f>I6*C67+J6*C68</f>
        <v>800</v>
      </c>
      <c r="I6" s="113">
        <v>2</v>
      </c>
      <c r="J6" s="112"/>
      <c r="K6" s="114">
        <f>L6*C67+M6*C68</f>
        <v>800</v>
      </c>
      <c r="L6" s="113">
        <v>2</v>
      </c>
      <c r="M6" s="112"/>
      <c r="N6" s="114">
        <f>O6*C67+P6*C68</f>
        <v>1400</v>
      </c>
      <c r="O6" s="113">
        <v>2</v>
      </c>
      <c r="P6" s="112">
        <v>2</v>
      </c>
      <c r="Q6" s="114">
        <f>R6*C67+S6*C68</f>
        <v>2800</v>
      </c>
      <c r="R6" s="113">
        <v>4</v>
      </c>
      <c r="S6" s="112">
        <v>4</v>
      </c>
      <c r="T6" s="49"/>
      <c r="U6" s="26"/>
      <c r="V6" s="26"/>
      <c r="W6" s="26"/>
      <c r="X6" s="48"/>
      <c r="Y6" s="49"/>
    </row>
    <row r="7" spans="2:25" x14ac:dyDescent="0.25">
      <c r="C7" t="s">
        <v>250</v>
      </c>
      <c r="E7" s="114">
        <v>0</v>
      </c>
      <c r="F7" s="113"/>
      <c r="G7" s="112"/>
      <c r="H7" s="114">
        <v>0</v>
      </c>
      <c r="I7" s="113"/>
      <c r="J7" s="112"/>
      <c r="K7" s="114">
        <v>0</v>
      </c>
      <c r="L7" s="113"/>
      <c r="M7" s="112"/>
      <c r="N7" s="114">
        <v>0</v>
      </c>
      <c r="O7" s="113"/>
      <c r="P7" s="112"/>
      <c r="Q7" s="114">
        <v>0</v>
      </c>
      <c r="R7" s="113"/>
      <c r="S7" s="112"/>
      <c r="T7" s="49"/>
      <c r="U7" s="26"/>
      <c r="V7" s="26"/>
      <c r="W7" s="26"/>
      <c r="X7" s="48"/>
      <c r="Y7" s="49"/>
    </row>
    <row r="8" spans="2:25" x14ac:dyDescent="0.25">
      <c r="B8" t="s">
        <v>281</v>
      </c>
      <c r="C8" t="s">
        <v>252</v>
      </c>
      <c r="E8" s="114">
        <f>F8*C67+G8*C68</f>
        <v>1600</v>
      </c>
      <c r="F8" s="113">
        <v>4</v>
      </c>
      <c r="G8" s="112"/>
      <c r="H8" s="114">
        <f>I8*C67+J8*C68</f>
        <v>2000</v>
      </c>
      <c r="I8" s="113">
        <v>5</v>
      </c>
      <c r="J8" s="112"/>
      <c r="K8" s="114">
        <f>L8*C67+M8*C68</f>
        <v>2000</v>
      </c>
      <c r="L8" s="113">
        <v>5</v>
      </c>
      <c r="M8" s="112"/>
      <c r="N8" s="114">
        <f>O8*C67+P8*C68</f>
        <v>2400</v>
      </c>
      <c r="O8" s="113">
        <v>6</v>
      </c>
      <c r="P8" s="112"/>
      <c r="Q8" s="114">
        <f>R8*C67+S8*C68</f>
        <v>4000</v>
      </c>
      <c r="R8" s="113">
        <v>10</v>
      </c>
      <c r="S8" s="112"/>
      <c r="T8" s="49"/>
      <c r="U8" s="26"/>
      <c r="V8" s="26"/>
      <c r="W8" s="26"/>
      <c r="X8" s="48"/>
      <c r="Y8" s="49"/>
    </row>
    <row r="9" spans="2:25" x14ac:dyDescent="0.25">
      <c r="C9" t="s">
        <v>250</v>
      </c>
      <c r="E9" s="114"/>
      <c r="F9" s="113"/>
      <c r="G9" s="112"/>
      <c r="H9" s="114"/>
      <c r="I9" s="113"/>
      <c r="J9" s="112"/>
      <c r="K9" s="114"/>
      <c r="L9" s="113"/>
      <c r="M9" s="112"/>
      <c r="N9" s="114">
        <v>3000</v>
      </c>
      <c r="O9" s="113"/>
      <c r="P9" s="112"/>
      <c r="Q9" s="114">
        <v>7000</v>
      </c>
      <c r="R9" s="113"/>
      <c r="S9" s="112"/>
      <c r="T9" s="49"/>
      <c r="U9" s="26"/>
      <c r="V9" s="26"/>
      <c r="W9" s="26"/>
      <c r="X9" s="48"/>
      <c r="Y9" s="49"/>
    </row>
    <row r="10" spans="2:25" x14ac:dyDescent="0.25">
      <c r="B10" t="s">
        <v>280</v>
      </c>
      <c r="C10" t="s">
        <v>252</v>
      </c>
      <c r="E10" s="114">
        <f>F10*C67+G10*C68</f>
        <v>0</v>
      </c>
      <c r="F10" s="113"/>
      <c r="G10" s="112"/>
      <c r="H10" s="114">
        <f>I10*C67+J10*C68</f>
        <v>2200</v>
      </c>
      <c r="I10" s="113">
        <v>1</v>
      </c>
      <c r="J10" s="112">
        <v>6</v>
      </c>
      <c r="K10" s="114">
        <f>L10*C67+M10*C68</f>
        <v>0</v>
      </c>
      <c r="L10" s="113"/>
      <c r="M10" s="112"/>
      <c r="N10" s="114">
        <f>O10*C67+P10*C68</f>
        <v>4800</v>
      </c>
      <c r="O10" s="113">
        <v>3</v>
      </c>
      <c r="P10" s="112">
        <v>12</v>
      </c>
      <c r="Q10" s="114">
        <f>R10*C67+S10*C68</f>
        <v>9200</v>
      </c>
      <c r="R10" s="113">
        <v>5</v>
      </c>
      <c r="S10" s="112">
        <v>24</v>
      </c>
      <c r="T10" s="49"/>
      <c r="U10" s="26"/>
      <c r="V10" s="26"/>
      <c r="W10" s="26"/>
      <c r="X10" s="48"/>
      <c r="Y10" s="49"/>
    </row>
    <row r="11" spans="2:25" x14ac:dyDescent="0.25">
      <c r="C11" t="s">
        <v>250</v>
      </c>
      <c r="E11" s="114">
        <v>0</v>
      </c>
      <c r="F11" s="113"/>
      <c r="G11" s="112"/>
      <c r="H11" s="114">
        <v>200</v>
      </c>
      <c r="I11" s="113"/>
      <c r="J11" s="112"/>
      <c r="K11" s="114">
        <v>0</v>
      </c>
      <c r="L11" s="113"/>
      <c r="M11" s="112"/>
      <c r="N11" s="114">
        <v>200</v>
      </c>
      <c r="O11" s="113"/>
      <c r="P11" s="116"/>
      <c r="Q11" s="114">
        <v>400</v>
      </c>
      <c r="R11" s="113"/>
      <c r="S11" s="116"/>
      <c r="T11" s="49"/>
      <c r="U11" s="26"/>
      <c r="V11" s="26"/>
      <c r="W11" s="26"/>
      <c r="X11" s="48"/>
      <c r="Y11" s="49"/>
    </row>
    <row r="12" spans="2:25" x14ac:dyDescent="0.25">
      <c r="B12" t="s">
        <v>279</v>
      </c>
      <c r="C12" t="s">
        <v>252</v>
      </c>
      <c r="E12" s="114">
        <f>F12*C67+G12*C68</f>
        <v>0</v>
      </c>
      <c r="F12" s="113"/>
      <c r="G12" s="112"/>
      <c r="H12" s="114">
        <f>I12*C67+J12*C68</f>
        <v>2400</v>
      </c>
      <c r="I12" s="113">
        <v>6</v>
      </c>
      <c r="J12" s="112"/>
      <c r="K12" s="114">
        <f>L12*C67+M12*C68</f>
        <v>2400</v>
      </c>
      <c r="L12" s="113">
        <v>6</v>
      </c>
      <c r="M12" s="112"/>
      <c r="N12" s="114">
        <f>O12*C67+P12*C68</f>
        <v>4100</v>
      </c>
      <c r="O12" s="113">
        <v>8</v>
      </c>
      <c r="P12" s="112">
        <v>3</v>
      </c>
      <c r="Q12" s="114">
        <f>R12*C67+S12*C68</f>
        <v>6400</v>
      </c>
      <c r="R12" s="113">
        <v>10</v>
      </c>
      <c r="S12" s="112">
        <v>8</v>
      </c>
      <c r="T12" s="49"/>
      <c r="U12" s="26"/>
      <c r="V12" s="26"/>
      <c r="W12" s="26"/>
      <c r="X12" s="48"/>
      <c r="Y12" s="49"/>
    </row>
    <row r="13" spans="2:25" x14ac:dyDescent="0.25">
      <c r="C13" t="s">
        <v>250</v>
      </c>
      <c r="E13" s="114"/>
      <c r="F13" s="113"/>
      <c r="G13" s="112"/>
      <c r="H13" s="114">
        <v>2000</v>
      </c>
      <c r="I13" s="113"/>
      <c r="J13" s="112"/>
      <c r="K13" s="114">
        <v>500</v>
      </c>
      <c r="L13" s="113"/>
      <c r="M13" s="112"/>
      <c r="N13" s="114"/>
      <c r="O13" s="113"/>
      <c r="P13" s="112"/>
      <c r="Q13" s="114"/>
      <c r="R13" s="113"/>
      <c r="S13" s="112"/>
      <c r="T13" s="49"/>
      <c r="U13" s="26"/>
      <c r="V13" s="26"/>
      <c r="W13" s="26"/>
      <c r="X13" s="48"/>
      <c r="Y13" s="49"/>
    </row>
    <row r="14" spans="2:25" x14ac:dyDescent="0.25">
      <c r="B14" t="s">
        <v>278</v>
      </c>
      <c r="C14" t="s">
        <v>252</v>
      </c>
      <c r="E14" s="114">
        <f>F14*C67+G14*C68</f>
        <v>0</v>
      </c>
      <c r="F14" s="113"/>
      <c r="G14" s="112"/>
      <c r="H14" s="114"/>
      <c r="I14" s="113"/>
      <c r="J14" s="112"/>
      <c r="K14" s="114"/>
      <c r="L14" s="113"/>
      <c r="M14" s="112"/>
      <c r="N14" s="114">
        <f>O14*C67+P14*C68</f>
        <v>0</v>
      </c>
      <c r="O14" s="113"/>
      <c r="P14" s="112"/>
      <c r="Q14" s="114">
        <f>R14*C67+S14*C68</f>
        <v>0</v>
      </c>
      <c r="R14" s="113"/>
      <c r="S14" s="112"/>
      <c r="T14" s="49"/>
      <c r="U14" s="26"/>
      <c r="V14" s="26"/>
      <c r="W14" s="26"/>
      <c r="X14" s="48"/>
      <c r="Y14" s="49"/>
    </row>
    <row r="15" spans="2:25" x14ac:dyDescent="0.25">
      <c r="C15" t="s">
        <v>250</v>
      </c>
      <c r="E15" s="114"/>
      <c r="F15" s="113"/>
      <c r="G15" s="112"/>
      <c r="H15" s="114"/>
      <c r="I15" s="113"/>
      <c r="J15" s="112"/>
      <c r="K15" s="114"/>
      <c r="L15" s="113"/>
      <c r="M15" s="112"/>
      <c r="N15" s="114"/>
      <c r="O15" s="113"/>
      <c r="P15" s="112"/>
      <c r="Q15" s="114"/>
      <c r="R15" s="113"/>
      <c r="S15" s="112"/>
      <c r="T15" s="49"/>
      <c r="U15" s="26"/>
      <c r="V15" s="26"/>
      <c r="W15" s="26"/>
      <c r="X15" s="48"/>
      <c r="Y15" s="49"/>
    </row>
    <row r="16" spans="2:25" x14ac:dyDescent="0.25">
      <c r="B16" t="s">
        <v>277</v>
      </c>
      <c r="C16" t="s">
        <v>252</v>
      </c>
      <c r="E16" s="114">
        <f>F16*C67+G16*C68</f>
        <v>0</v>
      </c>
      <c r="F16" s="113"/>
      <c r="G16" s="112"/>
      <c r="H16" s="114"/>
      <c r="I16" s="113"/>
      <c r="J16" s="112"/>
      <c r="K16" s="114"/>
      <c r="L16" s="113"/>
      <c r="M16" s="112"/>
      <c r="N16" s="114">
        <f>O16*C67+P16*C68</f>
        <v>0</v>
      </c>
      <c r="O16" s="113"/>
      <c r="P16" s="112"/>
      <c r="Q16" s="114">
        <f>R16*C67+S16*C68</f>
        <v>0</v>
      </c>
      <c r="R16" s="113"/>
      <c r="S16" s="112"/>
      <c r="T16" s="49"/>
      <c r="U16" s="26"/>
      <c r="V16" s="26"/>
      <c r="W16" s="26"/>
      <c r="X16" s="48"/>
      <c r="Y16" s="49"/>
    </row>
    <row r="17" spans="2:25" x14ac:dyDescent="0.25">
      <c r="C17" t="s">
        <v>250</v>
      </c>
      <c r="E17" s="114"/>
      <c r="F17" s="113"/>
      <c r="G17" s="112"/>
      <c r="H17" s="114"/>
      <c r="I17" s="113"/>
      <c r="J17" s="112"/>
      <c r="K17" s="114"/>
      <c r="L17" s="113"/>
      <c r="M17" s="112"/>
      <c r="N17" s="114">
        <v>100</v>
      </c>
      <c r="O17" s="113"/>
      <c r="P17" s="112"/>
      <c r="Q17" s="114">
        <v>200</v>
      </c>
      <c r="R17" s="113"/>
      <c r="S17" s="112"/>
      <c r="T17" s="49"/>
      <c r="U17" s="26"/>
      <c r="V17" s="26"/>
      <c r="W17" s="26"/>
      <c r="X17" s="48"/>
      <c r="Y17" s="49"/>
    </row>
    <row r="18" spans="2:25" x14ac:dyDescent="0.25">
      <c r="B18" t="s">
        <v>276</v>
      </c>
      <c r="C18" t="s">
        <v>252</v>
      </c>
      <c r="E18" s="114">
        <f>F18*C67+G18*C68</f>
        <v>900</v>
      </c>
      <c r="F18" s="113"/>
      <c r="G18" s="112">
        <v>3</v>
      </c>
      <c r="H18" s="114">
        <f>I18*C67+J18*C68</f>
        <v>1600</v>
      </c>
      <c r="I18" s="113">
        <v>1</v>
      </c>
      <c r="J18" s="112">
        <v>4</v>
      </c>
      <c r="K18" s="114">
        <f>L18*C67+M18*C68</f>
        <v>2200</v>
      </c>
      <c r="L18" s="113">
        <v>1</v>
      </c>
      <c r="M18" s="112">
        <v>6</v>
      </c>
      <c r="N18" s="114">
        <f>O18*C67+P18*C68</f>
        <v>1800</v>
      </c>
      <c r="O18" s="113"/>
      <c r="P18" s="112">
        <v>6</v>
      </c>
      <c r="Q18" s="114">
        <f>R18*C67+S18*C68</f>
        <v>1800</v>
      </c>
      <c r="R18" s="113"/>
      <c r="S18" s="112">
        <v>6</v>
      </c>
      <c r="T18" s="49"/>
      <c r="U18" s="26"/>
      <c r="V18" s="26"/>
      <c r="W18" s="26"/>
      <c r="X18" s="48"/>
      <c r="Y18" s="49"/>
    </row>
    <row r="19" spans="2:25" x14ac:dyDescent="0.25">
      <c r="C19" t="s">
        <v>250</v>
      </c>
      <c r="E19" s="114">
        <v>25</v>
      </c>
      <c r="F19" s="113"/>
      <c r="G19" s="112"/>
      <c r="H19" s="114">
        <v>10</v>
      </c>
      <c r="I19" s="113"/>
      <c r="J19" s="112"/>
      <c r="K19" s="114">
        <v>50</v>
      </c>
      <c r="L19" s="113"/>
      <c r="M19" s="112"/>
      <c r="N19" s="114">
        <v>1000</v>
      </c>
      <c r="O19" s="113"/>
      <c r="P19" s="112"/>
      <c r="Q19" s="114">
        <v>2000</v>
      </c>
      <c r="R19" s="113"/>
      <c r="S19" s="112"/>
      <c r="T19" s="49"/>
      <c r="U19" s="26"/>
      <c r="V19" s="26"/>
      <c r="W19" s="26"/>
      <c r="X19" s="48"/>
      <c r="Y19" s="49"/>
    </row>
    <row r="20" spans="2:25" x14ac:dyDescent="0.25">
      <c r="B20" t="s">
        <v>275</v>
      </c>
      <c r="C20" t="s">
        <v>252</v>
      </c>
      <c r="E20" s="114">
        <f>F20*C67+G20*C68</f>
        <v>0</v>
      </c>
      <c r="F20" s="113">
        <v>0</v>
      </c>
      <c r="G20" s="112">
        <v>0</v>
      </c>
      <c r="H20" s="114">
        <f>I20*C67+J20*C68</f>
        <v>3200</v>
      </c>
      <c r="I20" s="113">
        <v>2</v>
      </c>
      <c r="J20" s="112">
        <v>8</v>
      </c>
      <c r="K20" s="114">
        <f>L20*C67+M20*C68</f>
        <v>2600</v>
      </c>
      <c r="L20" s="113">
        <v>2</v>
      </c>
      <c r="M20" s="112">
        <v>6</v>
      </c>
      <c r="N20" s="118">
        <f>O20*C67+P20*C68</f>
        <v>28000</v>
      </c>
      <c r="O20" s="117">
        <v>10</v>
      </c>
      <c r="P20" s="116">
        <v>80</v>
      </c>
      <c r="Q20" s="114">
        <f>R20*C67+S20*C68</f>
        <v>56000</v>
      </c>
      <c r="R20" s="113">
        <v>20</v>
      </c>
      <c r="S20" s="112">
        <v>160</v>
      </c>
      <c r="T20" s="49" t="s">
        <v>272</v>
      </c>
      <c r="U20" s="26"/>
      <c r="V20" s="26"/>
      <c r="W20" s="26"/>
      <c r="X20" s="48"/>
      <c r="Y20" s="49"/>
    </row>
    <row r="21" spans="2:25" x14ac:dyDescent="0.25">
      <c r="C21" t="s">
        <v>250</v>
      </c>
      <c r="E21" s="114">
        <v>0</v>
      </c>
      <c r="F21" s="113"/>
      <c r="G21" s="112"/>
      <c r="H21" s="114">
        <v>1000</v>
      </c>
      <c r="I21" s="113"/>
      <c r="J21" s="112"/>
      <c r="K21" s="114">
        <v>300</v>
      </c>
      <c r="L21" s="113"/>
      <c r="M21" s="112"/>
      <c r="N21" s="118">
        <f>850*8</f>
        <v>6800</v>
      </c>
      <c r="O21" s="117"/>
      <c r="P21" s="116"/>
      <c r="Q21" s="114">
        <f>375*16</f>
        <v>6000</v>
      </c>
      <c r="R21" s="113"/>
      <c r="S21" s="112"/>
      <c r="T21" s="49"/>
      <c r="U21" s="26"/>
      <c r="V21" s="26"/>
      <c r="W21" s="26"/>
      <c r="X21" s="48"/>
      <c r="Y21" s="49"/>
    </row>
    <row r="22" spans="2:25" x14ac:dyDescent="0.25">
      <c r="B22" t="s">
        <v>274</v>
      </c>
      <c r="C22" t="s">
        <v>252</v>
      </c>
      <c r="E22" s="114">
        <f>F22*C67+G22*C68</f>
        <v>1400</v>
      </c>
      <c r="F22" s="113">
        <v>2</v>
      </c>
      <c r="G22" s="112">
        <v>2</v>
      </c>
      <c r="H22" s="114">
        <f>I22*C67+J22*C68</f>
        <v>1400</v>
      </c>
      <c r="I22" s="113">
        <v>2</v>
      </c>
      <c r="J22" s="112">
        <v>2</v>
      </c>
      <c r="K22" s="114">
        <f>L22*C67+M22*C68</f>
        <v>1400</v>
      </c>
      <c r="L22" s="113">
        <v>2</v>
      </c>
      <c r="M22" s="112">
        <v>2</v>
      </c>
      <c r="N22" s="118">
        <f>O22*C67+P22*C68</f>
        <v>2800</v>
      </c>
      <c r="O22" s="117">
        <v>4</v>
      </c>
      <c r="P22" s="116">
        <v>4</v>
      </c>
      <c r="Q22" s="114">
        <f>R22*C67+S22*C68</f>
        <v>5600</v>
      </c>
      <c r="R22" s="113">
        <v>8</v>
      </c>
      <c r="S22" s="112">
        <v>8</v>
      </c>
      <c r="T22" s="49"/>
      <c r="U22" s="26"/>
      <c r="V22" s="26"/>
      <c r="W22" s="26"/>
      <c r="X22" s="48"/>
      <c r="Y22" s="49"/>
    </row>
    <row r="23" spans="2:25" x14ac:dyDescent="0.25">
      <c r="C23" t="s">
        <v>250</v>
      </c>
      <c r="E23" s="114">
        <f>10*25</f>
        <v>250</v>
      </c>
      <c r="F23" s="113"/>
      <c r="G23" s="112"/>
      <c r="H23" s="114">
        <f>10*25</f>
        <v>250</v>
      </c>
      <c r="I23" s="113"/>
      <c r="J23" s="112"/>
      <c r="K23" s="114">
        <f>10*25</f>
        <v>250</v>
      </c>
      <c r="L23" s="113"/>
      <c r="M23" s="112"/>
      <c r="N23" s="118">
        <v>100</v>
      </c>
      <c r="O23" s="117"/>
      <c r="P23" s="116"/>
      <c r="Q23" s="114">
        <v>200</v>
      </c>
      <c r="R23" s="113"/>
      <c r="S23" s="112"/>
      <c r="T23" s="49"/>
      <c r="U23" s="26"/>
      <c r="V23" s="26"/>
      <c r="W23" s="26"/>
      <c r="X23" s="48"/>
      <c r="Y23" s="49"/>
    </row>
    <row r="24" spans="2:25" x14ac:dyDescent="0.25">
      <c r="B24" t="s">
        <v>273</v>
      </c>
      <c r="C24" t="s">
        <v>252</v>
      </c>
      <c r="E24" s="114">
        <f>F24*C67+G24*C68</f>
        <v>1000</v>
      </c>
      <c r="F24" s="113">
        <v>1</v>
      </c>
      <c r="G24" s="112">
        <v>2</v>
      </c>
      <c r="H24" s="114">
        <f>I24*C67+J24*C68</f>
        <v>29500</v>
      </c>
      <c r="I24" s="113">
        <v>10</v>
      </c>
      <c r="J24" s="112">
        <v>85</v>
      </c>
      <c r="K24" s="114">
        <f>L24*C67+M24*C68</f>
        <v>8400</v>
      </c>
      <c r="L24" s="113">
        <v>3</v>
      </c>
      <c r="M24" s="112">
        <v>24</v>
      </c>
      <c r="N24" s="118">
        <f>O24*C67+P24*C68</f>
        <v>26000</v>
      </c>
      <c r="O24" s="117">
        <v>20</v>
      </c>
      <c r="P24" s="116">
        <v>60</v>
      </c>
      <c r="Q24" s="114">
        <f>R24*C67+S24*C68</f>
        <v>52000</v>
      </c>
      <c r="R24" s="113">
        <v>40</v>
      </c>
      <c r="S24" s="112">
        <v>120</v>
      </c>
      <c r="T24" s="49" t="s">
        <v>272</v>
      </c>
      <c r="U24" s="26"/>
      <c r="V24" s="26"/>
      <c r="W24" s="26"/>
      <c r="X24" s="48"/>
      <c r="Y24" s="49"/>
    </row>
    <row r="25" spans="2:25" x14ac:dyDescent="0.25">
      <c r="B25" t="s">
        <v>271</v>
      </c>
      <c r="C25" t="s">
        <v>270</v>
      </c>
      <c r="E25" s="115">
        <v>9250</v>
      </c>
      <c r="F25" s="125"/>
      <c r="G25" s="112"/>
      <c r="H25" s="115">
        <v>6000</v>
      </c>
      <c r="I25" s="125"/>
      <c r="J25" s="112"/>
      <c r="K25" s="115">
        <v>8000</v>
      </c>
      <c r="L25" s="125"/>
      <c r="M25" s="112"/>
      <c r="N25" s="115">
        <v>2880</v>
      </c>
      <c r="O25" s="125"/>
      <c r="P25" s="116"/>
      <c r="Q25" s="115">
        <v>775</v>
      </c>
      <c r="R25" s="125"/>
      <c r="S25" s="112"/>
      <c r="T25" s="115"/>
      <c r="U25" s="26"/>
      <c r="V25" s="26"/>
      <c r="W25" s="26"/>
      <c r="X25" s="48"/>
      <c r="Y25" s="115"/>
    </row>
    <row r="26" spans="2:25" x14ac:dyDescent="0.25">
      <c r="B26" t="s">
        <v>269</v>
      </c>
      <c r="C26" t="s">
        <v>267</v>
      </c>
      <c r="E26" s="115">
        <v>400</v>
      </c>
      <c r="F26" s="125"/>
      <c r="G26" s="112"/>
      <c r="H26" s="115">
        <v>900</v>
      </c>
      <c r="I26" s="125"/>
      <c r="J26" s="112"/>
      <c r="K26" s="115">
        <v>1350</v>
      </c>
      <c r="L26" s="125"/>
      <c r="M26" s="112"/>
      <c r="N26" s="115">
        <v>3600</v>
      </c>
      <c r="O26" s="125"/>
      <c r="P26" s="116"/>
      <c r="Q26" s="115">
        <v>7750</v>
      </c>
      <c r="R26" s="125"/>
      <c r="S26" s="112"/>
      <c r="T26" s="49"/>
      <c r="U26" s="26"/>
      <c r="V26" s="26"/>
      <c r="W26" s="26"/>
      <c r="X26" s="48"/>
      <c r="Y26" s="49"/>
    </row>
    <row r="27" spans="2:25" x14ac:dyDescent="0.25">
      <c r="B27" t="s">
        <v>268</v>
      </c>
      <c r="C27" t="s">
        <v>267</v>
      </c>
      <c r="E27" s="115">
        <v>1</v>
      </c>
      <c r="F27" s="125"/>
      <c r="G27" s="112"/>
      <c r="H27" s="115">
        <v>1</v>
      </c>
      <c r="I27" s="125"/>
      <c r="J27" s="112"/>
      <c r="K27" s="115">
        <v>2</v>
      </c>
      <c r="L27" s="125"/>
      <c r="M27" s="112"/>
      <c r="N27" s="115">
        <v>1</v>
      </c>
      <c r="O27" s="125"/>
      <c r="P27" s="116"/>
      <c r="Q27" s="115">
        <v>1</v>
      </c>
      <c r="R27" s="125"/>
      <c r="S27" s="112"/>
      <c r="T27" s="49"/>
      <c r="U27" s="26"/>
      <c r="V27" s="26"/>
      <c r="W27" s="26"/>
      <c r="X27" s="48"/>
      <c r="Y27" s="49"/>
    </row>
    <row r="28" spans="2:25" x14ac:dyDescent="0.25">
      <c r="B28" t="s">
        <v>266</v>
      </c>
      <c r="C28" t="s">
        <v>265</v>
      </c>
      <c r="E28" s="87">
        <v>6.6</v>
      </c>
      <c r="F28" s="125"/>
      <c r="G28" s="112"/>
      <c r="H28" s="87">
        <v>33.33</v>
      </c>
      <c r="I28" s="125"/>
      <c r="J28" s="112"/>
      <c r="K28" s="126">
        <v>16.66</v>
      </c>
      <c r="L28" s="125"/>
      <c r="M28" s="112"/>
      <c r="N28" s="126">
        <v>33</v>
      </c>
      <c r="O28" s="125"/>
      <c r="P28" s="116"/>
      <c r="Q28" s="126">
        <v>33</v>
      </c>
      <c r="R28" s="125"/>
      <c r="S28" s="112"/>
      <c r="T28" s="49"/>
      <c r="U28" s="26"/>
      <c r="V28" s="26"/>
      <c r="W28" s="26"/>
      <c r="X28" s="48"/>
      <c r="Y28" s="49"/>
    </row>
    <row r="29" spans="2:25" x14ac:dyDescent="0.25">
      <c r="B29" t="s">
        <v>264</v>
      </c>
      <c r="C29" t="s">
        <v>250</v>
      </c>
      <c r="E29" s="118">
        <f>((2*E27*(E26/200))+(E28*(E25/1000)))*U29</f>
        <v>3187.45</v>
      </c>
      <c r="F29" s="125"/>
      <c r="G29" s="112"/>
      <c r="H29" s="118">
        <f>((2*H27*(H26/200))+(H28*(H25/1000)))*U29</f>
        <v>10240.019999999999</v>
      </c>
      <c r="I29" s="125"/>
      <c r="J29" s="112"/>
      <c r="K29" s="118">
        <f>((2*K27*(K26/200))+(K28*(K25/1000)))*U29</f>
        <v>7853.72</v>
      </c>
      <c r="L29" s="125"/>
      <c r="M29" s="112"/>
      <c r="N29" s="118">
        <f>((2*N27*(N26/200))+(N28*(N25/1000)))*U29</f>
        <v>6420.96</v>
      </c>
      <c r="O29" s="125"/>
      <c r="P29" s="116"/>
      <c r="Q29" s="118">
        <f>((2*Q27*(Q26/200))+(Q28*(Q25/1000)))*U29</f>
        <v>5050.6750000000002</v>
      </c>
      <c r="R29" s="125"/>
      <c r="S29" s="112"/>
      <c r="T29" s="123" t="s">
        <v>263</v>
      </c>
      <c r="U29" s="124">
        <v>49</v>
      </c>
      <c r="V29" s="26"/>
      <c r="W29" s="26"/>
      <c r="X29" s="48"/>
    </row>
    <row r="30" spans="2:25" x14ac:dyDescent="0.25">
      <c r="B30" t="s">
        <v>262</v>
      </c>
      <c r="C30" t="s">
        <v>250</v>
      </c>
      <c r="E30" s="114">
        <v>0</v>
      </c>
      <c r="F30" s="113"/>
      <c r="G30" s="112"/>
      <c r="H30" s="114">
        <v>0</v>
      </c>
      <c r="I30" s="113"/>
      <c r="J30" s="112"/>
      <c r="K30" s="114">
        <v>0</v>
      </c>
      <c r="L30" s="113"/>
      <c r="M30" s="112"/>
      <c r="N30" s="114">
        <v>0</v>
      </c>
      <c r="O30" s="113"/>
      <c r="P30" s="112"/>
      <c r="Q30" s="114">
        <v>0</v>
      </c>
      <c r="R30" s="113"/>
      <c r="S30" s="112"/>
      <c r="T30" s="49"/>
      <c r="U30" s="26"/>
      <c r="V30" s="26"/>
      <c r="W30" s="26"/>
      <c r="X30" s="48"/>
      <c r="Y30" s="49"/>
    </row>
    <row r="31" spans="2:25" x14ac:dyDescent="0.25">
      <c r="B31" t="s">
        <v>261</v>
      </c>
      <c r="C31" t="s">
        <v>252</v>
      </c>
      <c r="E31" s="114">
        <f>F31*$C$67+G31*$C$68</f>
        <v>1000</v>
      </c>
      <c r="F31" s="113">
        <v>1</v>
      </c>
      <c r="G31" s="112">
        <v>2</v>
      </c>
      <c r="H31" s="114">
        <f>I31*C67+J31*C68</f>
        <v>1000</v>
      </c>
      <c r="I31" s="113">
        <v>1</v>
      </c>
      <c r="J31" s="112">
        <v>2</v>
      </c>
      <c r="K31" s="114">
        <f>L31*C67+M31*C68</f>
        <v>1000</v>
      </c>
      <c r="L31" s="113">
        <v>1</v>
      </c>
      <c r="M31" s="112">
        <v>2</v>
      </c>
      <c r="N31" s="114">
        <f>O31*C67+P31*C68</f>
        <v>2800</v>
      </c>
      <c r="O31" s="113">
        <f>0.5*8</f>
        <v>4</v>
      </c>
      <c r="P31" s="113">
        <f>0.5*8</f>
        <v>4</v>
      </c>
      <c r="Q31" s="114">
        <f>R31*C67+S31*C68</f>
        <v>5600</v>
      </c>
      <c r="R31" s="113">
        <f>0.5*16</f>
        <v>8</v>
      </c>
      <c r="S31" s="113">
        <f>0.5*16</f>
        <v>8</v>
      </c>
      <c r="T31" s="49"/>
      <c r="U31" s="26"/>
      <c r="V31" s="26"/>
      <c r="W31" s="26"/>
      <c r="X31" s="48"/>
    </row>
    <row r="32" spans="2:25" x14ac:dyDescent="0.25">
      <c r="C32" t="s">
        <v>250</v>
      </c>
      <c r="E32" s="114">
        <v>0</v>
      </c>
      <c r="F32" s="113"/>
      <c r="G32" s="112"/>
      <c r="H32" s="114">
        <v>0</v>
      </c>
      <c r="I32" s="113"/>
      <c r="J32" s="112"/>
      <c r="K32" s="114">
        <v>0</v>
      </c>
      <c r="L32" s="113"/>
      <c r="M32" s="112"/>
      <c r="N32" s="114">
        <v>0</v>
      </c>
      <c r="O32" s="113"/>
      <c r="P32" s="112"/>
      <c r="Q32" s="114">
        <v>0</v>
      </c>
      <c r="R32" s="113"/>
      <c r="S32" s="112"/>
      <c r="T32" s="49"/>
      <c r="U32" s="26"/>
      <c r="V32" s="26"/>
      <c r="W32" s="26"/>
      <c r="X32" s="48"/>
      <c r="Y32" s="49"/>
    </row>
    <row r="33" spans="2:28" x14ac:dyDescent="0.25">
      <c r="B33" t="s">
        <v>260</v>
      </c>
      <c r="C33" t="s">
        <v>252</v>
      </c>
      <c r="E33" s="114">
        <f>F33*$C$67+G33*$C$68</f>
        <v>3600</v>
      </c>
      <c r="F33" s="113">
        <v>3</v>
      </c>
      <c r="G33" s="112">
        <v>8</v>
      </c>
      <c r="H33" s="114">
        <f>I33*$C$67+J33*$C$68</f>
        <v>9500</v>
      </c>
      <c r="I33" s="113">
        <v>5</v>
      </c>
      <c r="J33" s="112">
        <v>25</v>
      </c>
      <c r="K33" s="114">
        <f>L33*$C$67+M33*$C$68</f>
        <v>4200</v>
      </c>
      <c r="L33" s="113">
        <v>3</v>
      </c>
      <c r="M33" s="112">
        <v>10</v>
      </c>
      <c r="N33" s="114">
        <f>(O33*$C$67)+(P33*$C$68)</f>
        <v>2400</v>
      </c>
      <c r="O33" s="113"/>
      <c r="P33" s="112">
        <f>8*1</f>
        <v>8</v>
      </c>
      <c r="Q33" s="114">
        <f>(R33*$C$67)+(S33*$C$68)</f>
        <v>2400</v>
      </c>
      <c r="R33" s="113"/>
      <c r="S33" s="112">
        <f>8*1</f>
        <v>8</v>
      </c>
      <c r="T33" s="49"/>
      <c r="U33" s="26"/>
      <c r="V33" s="26"/>
      <c r="W33" s="26"/>
      <c r="X33" s="48"/>
      <c r="Y33" s="49"/>
    </row>
    <row r="34" spans="2:28" x14ac:dyDescent="0.25">
      <c r="C34" t="s">
        <v>250</v>
      </c>
      <c r="E34" s="114"/>
      <c r="F34" s="113"/>
      <c r="G34" s="112"/>
      <c r="H34" s="114"/>
      <c r="I34" s="113"/>
      <c r="J34" s="112"/>
      <c r="K34" s="114"/>
      <c r="L34" s="113"/>
      <c r="M34" s="112"/>
      <c r="N34" s="114"/>
      <c r="O34" s="113"/>
      <c r="P34" s="112"/>
      <c r="Q34" s="114"/>
      <c r="R34" s="113"/>
      <c r="S34" s="112"/>
      <c r="T34" s="49"/>
      <c r="U34" s="26"/>
      <c r="V34" s="26"/>
      <c r="W34" s="26"/>
      <c r="X34" s="48"/>
      <c r="Y34" s="49"/>
    </row>
    <row r="35" spans="2:28" x14ac:dyDescent="0.25">
      <c r="B35" t="s">
        <v>259</v>
      </c>
      <c r="C35" t="s">
        <v>252</v>
      </c>
      <c r="E35" s="114">
        <f>F35*C67+G35*C68</f>
        <v>300</v>
      </c>
      <c r="F35" s="113"/>
      <c r="G35" s="112">
        <v>1</v>
      </c>
      <c r="H35" s="114">
        <f>I35*C67+J35*C68</f>
        <v>3800</v>
      </c>
      <c r="I35" s="113">
        <v>2</v>
      </c>
      <c r="J35" s="112">
        <v>10</v>
      </c>
      <c r="K35" s="114">
        <f>L35*C67+M35*C68</f>
        <v>1000</v>
      </c>
      <c r="L35" s="113">
        <v>1</v>
      </c>
      <c r="M35" s="112">
        <v>2</v>
      </c>
      <c r="N35" s="114">
        <f>O35*C67+P35*C68</f>
        <v>4000</v>
      </c>
      <c r="O35" s="113">
        <v>4</v>
      </c>
      <c r="P35" s="112">
        <v>8</v>
      </c>
      <c r="Q35" s="114">
        <f>R35*C67+S35*C68</f>
        <v>4000</v>
      </c>
      <c r="R35" s="113">
        <v>4</v>
      </c>
      <c r="S35" s="112">
        <v>8</v>
      </c>
      <c r="T35" s="49"/>
      <c r="U35" s="26"/>
      <c r="V35" s="26"/>
      <c r="W35" s="26"/>
      <c r="X35" s="48"/>
      <c r="Y35" s="49"/>
    </row>
    <row r="36" spans="2:28" x14ac:dyDescent="0.25">
      <c r="C36" t="s">
        <v>250</v>
      </c>
      <c r="E36" s="114"/>
      <c r="F36" s="113"/>
      <c r="G36" s="112"/>
      <c r="H36" s="114">
        <v>500</v>
      </c>
      <c r="I36" s="113"/>
      <c r="J36" s="112"/>
      <c r="K36" s="114">
        <v>0</v>
      </c>
      <c r="L36" s="113"/>
      <c r="M36" s="112"/>
      <c r="N36" s="114">
        <v>0</v>
      </c>
      <c r="O36" s="113"/>
      <c r="P36" s="112"/>
      <c r="Q36" s="114">
        <v>0</v>
      </c>
      <c r="R36" s="113"/>
      <c r="S36" s="112"/>
      <c r="T36" s="49"/>
      <c r="U36" s="26"/>
      <c r="V36" s="26"/>
      <c r="W36" s="26"/>
      <c r="X36" s="48"/>
      <c r="Y36" s="49"/>
    </row>
    <row r="37" spans="2:28" x14ac:dyDescent="0.25">
      <c r="B37" t="s">
        <v>258</v>
      </c>
      <c r="C37" t="s">
        <v>257</v>
      </c>
      <c r="E37" s="114">
        <v>200</v>
      </c>
      <c r="F37" s="113"/>
      <c r="G37" s="112"/>
      <c r="H37" s="114">
        <f>60*25+(400*5)</f>
        <v>3500</v>
      </c>
      <c r="I37" s="113"/>
      <c r="J37" s="112"/>
      <c r="K37" s="114">
        <f>(100*4)+(400*3)</f>
        <v>1600</v>
      </c>
      <c r="L37" s="113"/>
      <c r="M37" s="112"/>
      <c r="N37" s="118">
        <f>1360+20*(222+250)</f>
        <v>10800</v>
      </c>
      <c r="O37" s="117"/>
      <c r="P37" s="116"/>
      <c r="Q37" s="118">
        <f>40*(177+250)</f>
        <v>17080</v>
      </c>
      <c r="R37" s="117"/>
      <c r="S37" s="116"/>
      <c r="T37" s="49"/>
      <c r="U37" s="26"/>
      <c r="V37" s="26"/>
      <c r="W37" s="26"/>
      <c r="X37" s="48"/>
      <c r="Y37" s="49"/>
    </row>
    <row r="38" spans="2:28" x14ac:dyDescent="0.25">
      <c r="C38" t="s">
        <v>250</v>
      </c>
      <c r="E38" s="114">
        <v>0</v>
      </c>
      <c r="F38" s="113"/>
      <c r="G38" s="112"/>
      <c r="H38" s="114">
        <f>100*20</f>
        <v>2000</v>
      </c>
      <c r="I38" s="113"/>
      <c r="J38" s="112"/>
      <c r="K38" s="114">
        <f>50*5</f>
        <v>250</v>
      </c>
      <c r="L38" s="113"/>
      <c r="M38" s="112"/>
      <c r="N38" s="118">
        <f>1.05*20*(40+2*30+4*20)</f>
        <v>3780</v>
      </c>
      <c r="O38" s="117"/>
      <c r="P38" s="116"/>
      <c r="Q38" s="118">
        <f>1.05*40*(2*30+4*20)</f>
        <v>5880</v>
      </c>
      <c r="R38" s="117"/>
      <c r="S38" s="116"/>
      <c r="T38" s="49"/>
      <c r="U38" s="26"/>
      <c r="V38" s="26"/>
      <c r="W38" s="26"/>
      <c r="X38" s="48"/>
      <c r="Y38" s="49"/>
    </row>
    <row r="39" spans="2:28" x14ac:dyDescent="0.25">
      <c r="B39" t="s">
        <v>256</v>
      </c>
      <c r="C39" t="s">
        <v>252</v>
      </c>
      <c r="E39" s="114">
        <f>F39*C67+G39*C68</f>
        <v>1600</v>
      </c>
      <c r="F39" s="113">
        <v>4</v>
      </c>
      <c r="G39" s="112"/>
      <c r="H39" s="114">
        <f>I39*C67+J39*C68</f>
        <v>2400</v>
      </c>
      <c r="I39" s="113">
        <v>6</v>
      </c>
      <c r="J39" s="112"/>
      <c r="K39" s="114">
        <f>L39*C67+M39*C68</f>
        <v>2400</v>
      </c>
      <c r="L39" s="113">
        <v>6</v>
      </c>
      <c r="M39" s="112"/>
      <c r="N39" s="114">
        <f>O39*C67+P39*C68</f>
        <v>1600</v>
      </c>
      <c r="O39" s="113">
        <v>4</v>
      </c>
      <c r="P39" s="112"/>
      <c r="Q39" s="114">
        <f>R39*C67+S39*C68</f>
        <v>1600</v>
      </c>
      <c r="R39" s="113">
        <v>4</v>
      </c>
      <c r="S39" s="112"/>
      <c r="T39" s="49"/>
      <c r="U39" s="26"/>
      <c r="V39" s="26"/>
      <c r="W39" s="26"/>
      <c r="X39" s="48"/>
      <c r="Y39" s="49"/>
    </row>
    <row r="40" spans="2:28" x14ac:dyDescent="0.25">
      <c r="B40" t="s">
        <v>255</v>
      </c>
      <c r="E40" s="114">
        <f>SUM(E39,E35,E33,E31,E24,E22,E20,E16,E14,E12,E10,E8,E6)</f>
        <v>11300</v>
      </c>
      <c r="F40" s="113"/>
      <c r="G40" s="112"/>
      <c r="H40" s="114">
        <f>SUM(H6,H8,H10,H12,H18,H20,H22,H24,H31,H35,H39)</f>
        <v>50300</v>
      </c>
      <c r="I40" s="113"/>
      <c r="J40" s="112"/>
      <c r="K40" s="114">
        <f>SUM(K6,K8,K10,K12,K18,K20,K22,K24,K31,K35,K39)</f>
        <v>24200</v>
      </c>
      <c r="L40" s="113"/>
      <c r="M40" s="112"/>
      <c r="N40" s="114">
        <f>SUM(N6,N8,N10,N12,N14,N16,N18,N20,N22,N24,N31,N35,N44,N39,)</f>
        <v>88700</v>
      </c>
      <c r="O40" s="113"/>
      <c r="P40" s="112"/>
      <c r="Q40" s="114">
        <f>SUM(Q6,Q8,Q10,Q12,Q14,Q16,Q18,Q20,Q22,Q24,Q31,Q35,Q44,Q39,)</f>
        <v>161500</v>
      </c>
      <c r="R40" s="113"/>
      <c r="S40" s="112"/>
      <c r="T40" s="49"/>
      <c r="U40" s="26"/>
      <c r="V40" s="26"/>
      <c r="W40" s="26"/>
      <c r="X40" s="48"/>
      <c r="Y40" s="49"/>
    </row>
    <row r="41" spans="2:28" x14ac:dyDescent="0.25">
      <c r="B41" s="122" t="s">
        <v>254</v>
      </c>
      <c r="C41" s="34"/>
      <c r="D41" s="34"/>
      <c r="E41" s="121">
        <f>SUM(E6:E24,E29:E39)</f>
        <v>15862.45</v>
      </c>
      <c r="F41" s="120"/>
      <c r="G41" s="119"/>
      <c r="H41" s="121">
        <f>SUM(H6:H24,H29:H39)</f>
        <v>79500.01999999999</v>
      </c>
      <c r="I41" s="120"/>
      <c r="J41" s="119"/>
      <c r="K41" s="121">
        <f>SUM(K6:K24,K29:K39)</f>
        <v>39203.72</v>
      </c>
      <c r="L41" s="120"/>
      <c r="M41" s="119"/>
      <c r="N41" s="121">
        <f>SUM(N6:N24,N30:N39)</f>
        <v>107880</v>
      </c>
      <c r="O41" s="120"/>
      <c r="P41" s="119"/>
      <c r="Q41" s="121">
        <f>SUM(Q6:Q24,Q30:Q39)</f>
        <v>190160</v>
      </c>
      <c r="R41" s="120"/>
      <c r="S41" s="119"/>
      <c r="T41" s="70"/>
      <c r="U41" s="33"/>
      <c r="V41" s="33"/>
      <c r="W41" s="33"/>
      <c r="X41" s="68"/>
      <c r="Y41" s="70"/>
    </row>
    <row r="42" spans="2:28" x14ac:dyDescent="0.25">
      <c r="B42" s="110"/>
      <c r="C42" s="110"/>
      <c r="D42" s="27"/>
      <c r="E42" s="105"/>
      <c r="F42" s="104"/>
      <c r="G42" s="103"/>
      <c r="H42" s="105"/>
      <c r="I42" s="104"/>
      <c r="J42" s="103"/>
      <c r="K42" s="105"/>
      <c r="L42" s="104"/>
      <c r="M42" s="103"/>
      <c r="N42" s="105"/>
      <c r="O42" s="104"/>
      <c r="P42" s="103"/>
      <c r="Q42" s="105"/>
      <c r="R42" s="104"/>
      <c r="S42" s="103"/>
      <c r="T42" s="26"/>
      <c r="U42" s="26"/>
      <c r="V42" s="26"/>
      <c r="W42" s="26"/>
      <c r="X42" s="26"/>
      <c r="Y42" s="26"/>
    </row>
    <row r="43" spans="2:28" x14ac:dyDescent="0.25">
      <c r="B43" s="110"/>
      <c r="C43" s="110"/>
      <c r="D43" s="27"/>
      <c r="E43" s="105"/>
      <c r="F43" s="104"/>
      <c r="G43" s="103"/>
      <c r="H43" s="105"/>
      <c r="I43" s="104"/>
      <c r="J43" s="103"/>
      <c r="K43" s="105"/>
      <c r="L43" s="104"/>
      <c r="M43" s="103"/>
      <c r="N43" s="105"/>
      <c r="O43" s="104"/>
      <c r="P43" s="103"/>
      <c r="Q43" s="105"/>
      <c r="R43" s="104"/>
      <c r="S43" s="103"/>
      <c r="T43" s="26"/>
      <c r="U43" s="26"/>
      <c r="V43" s="26"/>
      <c r="W43" s="26"/>
      <c r="X43" s="26"/>
      <c r="Y43" s="26"/>
    </row>
    <row r="44" spans="2:28" x14ac:dyDescent="0.25">
      <c r="B44" t="s">
        <v>253</v>
      </c>
      <c r="C44" t="s">
        <v>252</v>
      </c>
      <c r="E44" s="118">
        <f>F44*C67+G44*C68</f>
        <v>1800</v>
      </c>
      <c r="F44" s="117">
        <v>3</v>
      </c>
      <c r="G44" s="116">
        <v>2</v>
      </c>
      <c r="H44" s="118">
        <f>I44*C67+J44*C68</f>
        <v>1800</v>
      </c>
      <c r="I44" s="117">
        <v>3</v>
      </c>
      <c r="J44" s="116">
        <v>2</v>
      </c>
      <c r="K44" s="118">
        <f>L44*C67+M44*C68</f>
        <v>1800</v>
      </c>
      <c r="L44" s="117">
        <v>3</v>
      </c>
      <c r="M44" s="116">
        <v>2</v>
      </c>
      <c r="N44" s="118">
        <f>O44*C67+P44*C68</f>
        <v>9000</v>
      </c>
      <c r="O44" s="117">
        <v>15</v>
      </c>
      <c r="P44" s="116">
        <v>10</v>
      </c>
      <c r="Q44" s="118">
        <f>R44*C67+S44*C68</f>
        <v>12500</v>
      </c>
      <c r="R44" s="117">
        <v>20</v>
      </c>
      <c r="S44" s="116">
        <v>15</v>
      </c>
      <c r="T44" s="115" t="s">
        <v>251</v>
      </c>
      <c r="U44" s="26"/>
      <c r="V44" s="26"/>
      <c r="W44" s="26"/>
      <c r="X44" s="26"/>
      <c r="Y44" s="26"/>
    </row>
    <row r="45" spans="2:28" x14ac:dyDescent="0.25">
      <c r="C45" t="s">
        <v>250</v>
      </c>
      <c r="E45" s="114">
        <v>10</v>
      </c>
      <c r="F45" s="113"/>
      <c r="G45" s="112"/>
      <c r="H45" s="114">
        <v>10</v>
      </c>
      <c r="I45" s="113"/>
      <c r="J45" s="112"/>
      <c r="K45" s="114">
        <v>10</v>
      </c>
      <c r="L45" s="113"/>
      <c r="M45" s="112"/>
      <c r="N45" s="114"/>
      <c r="O45" s="113"/>
      <c r="P45" s="112"/>
      <c r="Q45" s="114">
        <v>0</v>
      </c>
      <c r="R45" s="113"/>
      <c r="S45" s="112"/>
      <c r="T45" s="49"/>
      <c r="U45" s="26"/>
      <c r="V45" s="26"/>
      <c r="W45" s="26"/>
      <c r="X45" s="26"/>
      <c r="Y45" s="26"/>
    </row>
    <row r="46" spans="2:28" x14ac:dyDescent="0.25">
      <c r="B46" t="s">
        <v>249</v>
      </c>
      <c r="E46" s="111">
        <f>5*(SUM(E44:E45))</f>
        <v>9050</v>
      </c>
      <c r="F46" s="104"/>
      <c r="G46" s="103"/>
      <c r="H46" s="105"/>
      <c r="I46" s="104"/>
      <c r="J46" s="103"/>
      <c r="K46" s="105"/>
      <c r="L46" s="104"/>
      <c r="M46" s="103"/>
      <c r="N46" s="105"/>
      <c r="O46" s="104"/>
      <c r="P46" s="103"/>
      <c r="Q46" s="105"/>
      <c r="R46" s="104"/>
      <c r="S46" s="103"/>
      <c r="T46" s="26"/>
      <c r="U46" s="26"/>
      <c r="V46" s="26"/>
      <c r="W46" s="26"/>
      <c r="X46" s="26"/>
      <c r="Y46" s="26"/>
      <c r="Z46" s="26"/>
      <c r="AA46" s="26"/>
      <c r="AB46" s="26"/>
    </row>
    <row r="47" spans="2:28" x14ac:dyDescent="0.25">
      <c r="B47" s="110"/>
      <c r="C47" s="110"/>
      <c r="D47" s="27"/>
      <c r="E47" s="105"/>
      <c r="F47" s="104"/>
      <c r="G47" s="103"/>
      <c r="H47" s="105"/>
      <c r="I47" s="104"/>
      <c r="J47" s="103"/>
      <c r="K47" s="105"/>
      <c r="L47" s="104"/>
      <c r="M47" s="103"/>
      <c r="N47" s="105"/>
      <c r="O47" s="104"/>
      <c r="P47" s="103"/>
      <c r="Q47" s="105"/>
      <c r="R47" s="104"/>
      <c r="S47" s="103"/>
      <c r="T47" s="26"/>
      <c r="U47" s="26"/>
      <c r="V47" s="26"/>
      <c r="W47" s="26"/>
      <c r="X47" s="26"/>
      <c r="Y47" s="26"/>
      <c r="Z47" s="26"/>
      <c r="AA47" s="26"/>
      <c r="AB47" s="26"/>
    </row>
    <row r="48" spans="2:28" ht="15.75" thickBot="1" x14ac:dyDescent="0.3">
      <c r="B48" s="27"/>
      <c r="C48" s="27"/>
      <c r="D48" s="27"/>
      <c r="E48" s="105"/>
      <c r="F48" s="104"/>
      <c r="G48" s="103"/>
      <c r="H48" s="105"/>
      <c r="I48" s="104"/>
      <c r="J48" s="103"/>
      <c r="K48" s="105"/>
      <c r="L48" s="104"/>
      <c r="M48" s="103"/>
      <c r="N48" s="105"/>
      <c r="O48" s="104"/>
      <c r="P48" s="103"/>
      <c r="Q48" s="105"/>
      <c r="R48" s="104"/>
      <c r="S48" s="103"/>
      <c r="T48" s="26"/>
      <c r="U48" s="26"/>
      <c r="V48" s="26"/>
      <c r="W48" s="26"/>
      <c r="X48" s="26"/>
      <c r="Y48" s="26"/>
      <c r="Z48" s="26"/>
      <c r="AA48" s="26"/>
      <c r="AB48" s="26"/>
    </row>
    <row r="49" spans="2:28" ht="15.75" thickBot="1" x14ac:dyDescent="0.3">
      <c r="B49" s="109" t="s">
        <v>248</v>
      </c>
      <c r="C49" s="108" t="s">
        <v>247</v>
      </c>
      <c r="D49" s="108"/>
      <c r="E49" s="145">
        <f>E41+H41+K41</f>
        <v>134566.19</v>
      </c>
      <c r="F49" s="104"/>
      <c r="G49" s="103"/>
      <c r="H49" s="105"/>
      <c r="I49" s="104"/>
      <c r="J49" s="103"/>
      <c r="K49" s="105"/>
      <c r="L49" s="104"/>
      <c r="M49" s="103"/>
      <c r="N49" s="105"/>
      <c r="O49" s="104"/>
      <c r="P49" s="103"/>
      <c r="Q49" s="105"/>
      <c r="R49" s="104"/>
      <c r="S49" s="103"/>
      <c r="T49" s="26"/>
      <c r="U49" s="26"/>
      <c r="V49" s="26"/>
      <c r="W49" s="26"/>
      <c r="X49" s="26"/>
      <c r="Y49" s="26"/>
      <c r="Z49" s="26"/>
      <c r="AA49" s="26"/>
      <c r="AB49" s="26"/>
    </row>
    <row r="50" spans="2:28" ht="15.75" thickBot="1" x14ac:dyDescent="0.3">
      <c r="B50" s="107" t="s">
        <v>246</v>
      </c>
      <c r="C50" s="106" t="s">
        <v>245</v>
      </c>
      <c r="D50" s="106"/>
      <c r="E50" s="146">
        <f>E49+N41+Q41</f>
        <v>432606.19</v>
      </c>
      <c r="F50" s="104"/>
      <c r="G50" s="103"/>
      <c r="H50" s="105"/>
      <c r="I50" s="104"/>
      <c r="J50" s="103"/>
      <c r="K50" s="105"/>
      <c r="L50" s="104"/>
      <c r="M50" s="103"/>
      <c r="N50" s="105"/>
      <c r="O50" s="104"/>
      <c r="P50" s="103"/>
      <c r="Q50" s="105"/>
      <c r="R50" s="104"/>
      <c r="S50" s="103"/>
      <c r="T50" s="26"/>
      <c r="U50" s="26"/>
      <c r="V50" s="26"/>
      <c r="W50" s="26"/>
      <c r="X50" s="26"/>
      <c r="Y50" s="26"/>
      <c r="Z50" s="26"/>
      <c r="AA50" s="26"/>
      <c r="AB50" s="26"/>
    </row>
    <row r="51" spans="2:28" ht="15.75" thickBot="1" x14ac:dyDescent="0.3">
      <c r="B51" s="102" t="s">
        <v>244</v>
      </c>
      <c r="C51" s="101" t="s">
        <v>243</v>
      </c>
      <c r="D51" s="100"/>
      <c r="E51" s="147">
        <f>E50+((Q41/C54)*C61)+((N41/C55)*C62)</f>
        <v>783500.21150537627</v>
      </c>
      <c r="F51" t="s">
        <v>242</v>
      </c>
    </row>
    <row r="52" spans="2:28" x14ac:dyDescent="0.25">
      <c r="C52" s="3"/>
      <c r="F52" s="3" t="s">
        <v>241</v>
      </c>
      <c r="I52" s="3"/>
    </row>
    <row r="53" spans="2:28" x14ac:dyDescent="0.25">
      <c r="B53" s="21" t="s">
        <v>240</v>
      </c>
      <c r="C53" s="91" t="s">
        <v>6</v>
      </c>
    </row>
    <row r="54" spans="2:28" x14ac:dyDescent="0.25">
      <c r="B54" s="99" t="s">
        <v>239</v>
      </c>
      <c r="C54" s="4">
        <v>7.75</v>
      </c>
    </row>
    <row r="55" spans="2:28" x14ac:dyDescent="0.25">
      <c r="B55" s="99" t="s">
        <v>238</v>
      </c>
      <c r="C55" s="4">
        <v>3.6</v>
      </c>
    </row>
    <row r="56" spans="2:28" x14ac:dyDescent="0.25">
      <c r="B56" s="21" t="s">
        <v>237</v>
      </c>
      <c r="C56" s="91" t="s">
        <v>222</v>
      </c>
      <c r="D56" t="s">
        <v>236</v>
      </c>
    </row>
    <row r="57" spans="2:28" x14ac:dyDescent="0.25">
      <c r="B57" s="21" t="s">
        <v>24</v>
      </c>
      <c r="C57" s="4">
        <v>0.2</v>
      </c>
      <c r="E57" s="21" t="s">
        <v>235</v>
      </c>
      <c r="F57" s="21"/>
      <c r="G57" s="21"/>
      <c r="H57" s="21"/>
      <c r="I57" s="21"/>
      <c r="K57" s="211" t="s">
        <v>234</v>
      </c>
      <c r="L57" s="211"/>
      <c r="M57" s="211"/>
      <c r="N57" s="211"/>
      <c r="O57" s="211"/>
      <c r="P57" s="211"/>
    </row>
    <row r="58" spans="2:28" x14ac:dyDescent="0.25">
      <c r="B58" s="21" t="s">
        <v>23</v>
      </c>
      <c r="C58" s="4">
        <v>0.5</v>
      </c>
      <c r="E58" s="98"/>
      <c r="F58" s="52"/>
      <c r="G58" s="53"/>
      <c r="H58" s="212" t="s">
        <v>233</v>
      </c>
      <c r="I58" s="213"/>
      <c r="K58" s="98"/>
      <c r="L58" s="53"/>
      <c r="M58" s="214" t="s">
        <v>232</v>
      </c>
      <c r="N58" s="215"/>
      <c r="O58" s="214" t="s">
        <v>231</v>
      </c>
      <c r="P58" s="215"/>
    </row>
    <row r="59" spans="2:28" x14ac:dyDescent="0.25">
      <c r="C59" s="4"/>
      <c r="E59" s="70"/>
      <c r="F59" s="68"/>
      <c r="G59" s="31" t="s">
        <v>6</v>
      </c>
      <c r="H59" s="97" t="s">
        <v>26</v>
      </c>
      <c r="I59" s="67" t="s">
        <v>295</v>
      </c>
      <c r="K59" s="70"/>
      <c r="L59" s="33"/>
      <c r="M59" s="97" t="s">
        <v>6</v>
      </c>
      <c r="N59" s="32" t="s">
        <v>230</v>
      </c>
      <c r="O59" s="70" t="s">
        <v>6</v>
      </c>
      <c r="P59" s="32" t="s">
        <v>230</v>
      </c>
    </row>
    <row r="60" spans="2:28" x14ac:dyDescent="0.25">
      <c r="B60" s="21" t="s">
        <v>229</v>
      </c>
      <c r="C60" s="91" t="s">
        <v>6</v>
      </c>
      <c r="E60" s="49" t="s">
        <v>228</v>
      </c>
      <c r="F60" s="48"/>
      <c r="G60" s="96">
        <v>20.399999999999999</v>
      </c>
      <c r="H60" s="95">
        <f>G60/$C$58</f>
        <v>40.799999999999997</v>
      </c>
      <c r="I60" s="92">
        <f>G60/$C$65</f>
        <v>13.6</v>
      </c>
      <c r="K60" s="49"/>
      <c r="L60" s="26"/>
      <c r="M60" s="93"/>
      <c r="N60" s="92"/>
      <c r="O60" s="49"/>
      <c r="P60" s="92"/>
    </row>
    <row r="61" spans="2:28" x14ac:dyDescent="0.25">
      <c r="B61" t="s">
        <v>227</v>
      </c>
      <c r="C61" s="4">
        <v>7.95</v>
      </c>
      <c r="E61" s="49" t="s">
        <v>226</v>
      </c>
      <c r="F61" s="48"/>
      <c r="G61" s="96">
        <v>10</v>
      </c>
      <c r="H61" s="95">
        <f>G61/$C$58</f>
        <v>20</v>
      </c>
      <c r="I61" s="92">
        <f>G61/$C$65</f>
        <v>6.666666666666667</v>
      </c>
      <c r="K61" s="49" t="s">
        <v>226</v>
      </c>
      <c r="L61" s="26"/>
      <c r="M61" s="93">
        <f>($G$61+$G$62)*($C$58/($C$58+$C$57))</f>
        <v>47.857142857142861</v>
      </c>
      <c r="N61" s="92">
        <f>M61/$C$58</f>
        <v>95.714285714285722</v>
      </c>
      <c r="O61" s="93">
        <f>($G$61+$G$62)*($C$65/($C$65+$C$64))</f>
        <v>50.25</v>
      </c>
      <c r="P61" s="92">
        <f>O61/$C$65</f>
        <v>33.5</v>
      </c>
    </row>
    <row r="62" spans="2:28" x14ac:dyDescent="0.25">
      <c r="B62" t="s">
        <v>225</v>
      </c>
      <c r="C62" s="4">
        <v>5.2</v>
      </c>
      <c r="E62" s="70" t="s">
        <v>224</v>
      </c>
      <c r="F62" s="68"/>
      <c r="G62" s="31">
        <v>57</v>
      </c>
      <c r="H62" s="85">
        <f>G62/$C$57</f>
        <v>285</v>
      </c>
      <c r="I62" s="94">
        <f>G62/$C$58</f>
        <v>114</v>
      </c>
      <c r="K62" s="70" t="s">
        <v>224</v>
      </c>
      <c r="L62" s="33"/>
      <c r="M62" s="93">
        <f>($G$62+$G$61)*($C$57/($C$58+$C$57))</f>
        <v>19.142857142857146</v>
      </c>
      <c r="N62" s="92">
        <f>M62/$C$57</f>
        <v>95.714285714285722</v>
      </c>
      <c r="O62" s="93">
        <f>($G$62+$G$61)*($C$64/($C$65+$C$64))</f>
        <v>16.75</v>
      </c>
      <c r="P62" s="92">
        <f>O62/$C$58</f>
        <v>33.5</v>
      </c>
    </row>
    <row r="63" spans="2:28" x14ac:dyDescent="0.25">
      <c r="B63" s="21" t="s">
        <v>223</v>
      </c>
      <c r="C63" s="91" t="s">
        <v>222</v>
      </c>
      <c r="D63" t="s">
        <v>221</v>
      </c>
      <c r="E63" s="87" t="s">
        <v>220</v>
      </c>
      <c r="F63" s="86"/>
      <c r="G63" s="90">
        <f>SUM(G60:G62)</f>
        <v>87.4</v>
      </c>
      <c r="H63" s="89">
        <f>SUM(H60:H62)</f>
        <v>345.8</v>
      </c>
      <c r="I63" s="88">
        <f>SUM(I60:I62)</f>
        <v>134.26666666666665</v>
      </c>
      <c r="K63" s="87" t="s">
        <v>219</v>
      </c>
      <c r="L63" s="86"/>
      <c r="M63" s="85"/>
      <c r="N63" s="84">
        <f>N62</f>
        <v>95.714285714285722</v>
      </c>
      <c r="O63" s="70"/>
      <c r="P63" s="84">
        <f>P62</f>
        <v>33.5</v>
      </c>
    </row>
    <row r="64" spans="2:28" x14ac:dyDescent="0.25">
      <c r="B64" s="21" t="s">
        <v>24</v>
      </c>
      <c r="C64" s="4">
        <v>0.5</v>
      </c>
      <c r="E64" s="21"/>
      <c r="F64" s="21"/>
      <c r="G64" s="21"/>
      <c r="H64" s="21"/>
      <c r="I64" s="21"/>
    </row>
    <row r="65" spans="2:7" x14ac:dyDescent="0.25">
      <c r="B65" s="21" t="s">
        <v>23</v>
      </c>
      <c r="C65" s="4">
        <v>1.5</v>
      </c>
      <c r="E65" s="83" t="s">
        <v>218</v>
      </c>
    </row>
    <row r="66" spans="2:7" x14ac:dyDescent="0.25">
      <c r="B66" s="141" t="s">
        <v>293</v>
      </c>
    </row>
    <row r="67" spans="2:7" x14ac:dyDescent="0.25">
      <c r="B67" s="57" t="s">
        <v>217</v>
      </c>
      <c r="C67" s="240">
        <v>400</v>
      </c>
    </row>
    <row r="68" spans="2:7" x14ac:dyDescent="0.25">
      <c r="B68" s="57" t="s">
        <v>216</v>
      </c>
      <c r="C68" s="240">
        <v>300</v>
      </c>
      <c r="E68" s="177" t="s">
        <v>298</v>
      </c>
      <c r="F68" s="178"/>
      <c r="G68" s="179"/>
    </row>
    <row r="69" spans="2:7" x14ac:dyDescent="0.25">
      <c r="C69" s="3"/>
    </row>
    <row r="70" spans="2:7" x14ac:dyDescent="0.25">
      <c r="B70" s="132" t="s">
        <v>215</v>
      </c>
      <c r="C70" s="53"/>
      <c r="D70" s="52"/>
    </row>
    <row r="71" spans="2:7" ht="75" x14ac:dyDescent="0.25">
      <c r="B71" s="49" t="s">
        <v>214</v>
      </c>
      <c r="C71" s="133" t="s">
        <v>213</v>
      </c>
      <c r="D71" s="134" t="s">
        <v>212</v>
      </c>
    </row>
    <row r="72" spans="2:7" x14ac:dyDescent="0.25">
      <c r="B72" s="135">
        <v>0.1</v>
      </c>
      <c r="C72" s="136">
        <f t="shared" ref="C72:C77" si="0">($B72/30000)*1000</f>
        <v>3.3333333333333331E-3</v>
      </c>
      <c r="D72" s="137">
        <f t="shared" ref="D72:D77" si="1">C72*1000</f>
        <v>3.333333333333333</v>
      </c>
    </row>
    <row r="73" spans="2:7" x14ac:dyDescent="0.25">
      <c r="B73" s="135">
        <v>0.2</v>
      </c>
      <c r="C73" s="136">
        <f t="shared" si="0"/>
        <v>6.6666666666666662E-3</v>
      </c>
      <c r="D73" s="137">
        <f t="shared" si="1"/>
        <v>6.6666666666666661</v>
      </c>
    </row>
    <row r="74" spans="2:7" x14ac:dyDescent="0.25">
      <c r="B74" s="135">
        <v>0.5</v>
      </c>
      <c r="C74" s="136">
        <f t="shared" si="0"/>
        <v>1.6666666666666666E-2</v>
      </c>
      <c r="D74" s="137">
        <f t="shared" si="1"/>
        <v>16.666666666666668</v>
      </c>
    </row>
    <row r="75" spans="2:7" x14ac:dyDescent="0.25">
      <c r="B75" s="135">
        <v>1</v>
      </c>
      <c r="C75" s="136">
        <f t="shared" si="0"/>
        <v>3.3333333333333333E-2</v>
      </c>
      <c r="D75" s="137">
        <f t="shared" si="1"/>
        <v>33.333333333333336</v>
      </c>
    </row>
    <row r="76" spans="2:7" x14ac:dyDescent="0.25">
      <c r="B76" s="135">
        <v>2</v>
      </c>
      <c r="C76" s="136">
        <f t="shared" si="0"/>
        <v>6.6666666666666666E-2</v>
      </c>
      <c r="D76" s="137">
        <f t="shared" si="1"/>
        <v>66.666666666666671</v>
      </c>
    </row>
    <row r="77" spans="2:7" x14ac:dyDescent="0.25">
      <c r="B77" s="138">
        <v>5</v>
      </c>
      <c r="C77" s="139">
        <f t="shared" si="0"/>
        <v>0.16666666666666666</v>
      </c>
      <c r="D77" s="140">
        <f t="shared" si="1"/>
        <v>166.66666666666666</v>
      </c>
    </row>
    <row r="78" spans="2:7" x14ac:dyDescent="0.25">
      <c r="B78" s="17"/>
    </row>
    <row r="79" spans="2:7" x14ac:dyDescent="0.25">
      <c r="B79" s="21" t="s">
        <v>211</v>
      </c>
    </row>
    <row r="80" spans="2:7" x14ac:dyDescent="0.25">
      <c r="B80" s="21" t="s">
        <v>210</v>
      </c>
    </row>
    <row r="81" spans="2:2" x14ac:dyDescent="0.25">
      <c r="B81" t="s">
        <v>209</v>
      </c>
    </row>
    <row r="82" spans="2:2" x14ac:dyDescent="0.25">
      <c r="B82" t="s">
        <v>208</v>
      </c>
    </row>
    <row r="83" spans="2:2" x14ac:dyDescent="0.25">
      <c r="B83" t="s">
        <v>207</v>
      </c>
    </row>
    <row r="84" spans="2:2" x14ac:dyDescent="0.25">
      <c r="B84" t="s">
        <v>206</v>
      </c>
    </row>
    <row r="85" spans="2:2" x14ac:dyDescent="0.25">
      <c r="B85" t="s">
        <v>205</v>
      </c>
    </row>
    <row r="86" spans="2:2" x14ac:dyDescent="0.25">
      <c r="B86" t="s">
        <v>204</v>
      </c>
    </row>
    <row r="87" spans="2:2" x14ac:dyDescent="0.25">
      <c r="B87" s="82" t="s">
        <v>203</v>
      </c>
    </row>
    <row r="89" spans="2:2" x14ac:dyDescent="0.25">
      <c r="B89" s="21" t="s">
        <v>202</v>
      </c>
    </row>
    <row r="90" spans="2:2" x14ac:dyDescent="0.25">
      <c r="B90" t="s">
        <v>201</v>
      </c>
    </row>
    <row r="91" spans="2:2" x14ac:dyDescent="0.25">
      <c r="B91" t="s">
        <v>200</v>
      </c>
    </row>
    <row r="92" spans="2:2" x14ac:dyDescent="0.25">
      <c r="B92" t="s">
        <v>199</v>
      </c>
    </row>
    <row r="93" spans="2:2" x14ac:dyDescent="0.25">
      <c r="B93" t="s">
        <v>198</v>
      </c>
    </row>
    <row r="94" spans="2:2" x14ac:dyDescent="0.25">
      <c r="B94" t="s">
        <v>197</v>
      </c>
    </row>
    <row r="95" spans="2:2" x14ac:dyDescent="0.25">
      <c r="B95" t="s">
        <v>196</v>
      </c>
    </row>
    <row r="96" spans="2:2" x14ac:dyDescent="0.25">
      <c r="B96" t="s">
        <v>195</v>
      </c>
    </row>
    <row r="97" spans="2:12" x14ac:dyDescent="0.25">
      <c r="B97" t="s">
        <v>194</v>
      </c>
    </row>
    <row r="98" spans="2:12" x14ac:dyDescent="0.25">
      <c r="B98" t="s">
        <v>193</v>
      </c>
    </row>
    <row r="99" spans="2:12" x14ac:dyDescent="0.25">
      <c r="B99" t="s">
        <v>192</v>
      </c>
    </row>
    <row r="100" spans="2:12" x14ac:dyDescent="0.25">
      <c r="B100" t="s">
        <v>191</v>
      </c>
    </row>
    <row r="101" spans="2:12" x14ac:dyDescent="0.25">
      <c r="B101" t="s">
        <v>190</v>
      </c>
    </row>
    <row r="102" spans="2:12" x14ac:dyDescent="0.25">
      <c r="B102" t="s">
        <v>189</v>
      </c>
    </row>
    <row r="103" spans="2:12" x14ac:dyDescent="0.25">
      <c r="B103" t="s">
        <v>188</v>
      </c>
    </row>
    <row r="104" spans="2:12" x14ac:dyDescent="0.25">
      <c r="B104" t="s">
        <v>187</v>
      </c>
    </row>
    <row r="105" spans="2:12" x14ac:dyDescent="0.25">
      <c r="B105" t="s">
        <v>186</v>
      </c>
    </row>
    <row r="106" spans="2:12" x14ac:dyDescent="0.25">
      <c r="B106" t="s">
        <v>185</v>
      </c>
    </row>
    <row r="107" spans="2:12" x14ac:dyDescent="0.25">
      <c r="B107" t="s">
        <v>184</v>
      </c>
    </row>
    <row r="108" spans="2:12" x14ac:dyDescent="0.25">
      <c r="B108" t="s">
        <v>183</v>
      </c>
    </row>
    <row r="109" spans="2:12" x14ac:dyDescent="0.25">
      <c r="B109" t="s">
        <v>182</v>
      </c>
    </row>
    <row r="110" spans="2:12" x14ac:dyDescent="0.25">
      <c r="B110" t="s">
        <v>181</v>
      </c>
    </row>
    <row r="111" spans="2:12" x14ac:dyDescent="0.25">
      <c r="B111" s="82" t="s">
        <v>180</v>
      </c>
      <c r="C111" s="82"/>
      <c r="D111" s="82"/>
      <c r="E111" s="82"/>
      <c r="F111" s="82"/>
      <c r="G111" s="82"/>
      <c r="H111" s="82"/>
      <c r="I111" s="82"/>
      <c r="J111" s="82"/>
      <c r="K111" s="82"/>
      <c r="L111" s="82"/>
    </row>
    <row r="112" spans="2:12" x14ac:dyDescent="0.25">
      <c r="B112" s="82" t="s">
        <v>179</v>
      </c>
      <c r="C112" s="82"/>
      <c r="D112" s="82"/>
      <c r="E112" s="82"/>
      <c r="F112" s="82"/>
      <c r="G112" s="82"/>
      <c r="H112" s="82"/>
      <c r="I112" s="82"/>
      <c r="J112" s="82"/>
      <c r="K112" s="82"/>
      <c r="L112" s="82"/>
    </row>
    <row r="114" spans="2:2" x14ac:dyDescent="0.25">
      <c r="B114" s="21" t="s">
        <v>178</v>
      </c>
    </row>
    <row r="115" spans="2:2" x14ac:dyDescent="0.25">
      <c r="B115" t="s">
        <v>177</v>
      </c>
    </row>
    <row r="116" spans="2:2" x14ac:dyDescent="0.25">
      <c r="B116" t="s">
        <v>176</v>
      </c>
    </row>
    <row r="117" spans="2:2" x14ac:dyDescent="0.25">
      <c r="B117" t="s">
        <v>175</v>
      </c>
    </row>
    <row r="118" spans="2:2" x14ac:dyDescent="0.25">
      <c r="B118" t="s">
        <v>174</v>
      </c>
    </row>
    <row r="119" spans="2:2" x14ac:dyDescent="0.25">
      <c r="B119" t="s">
        <v>173</v>
      </c>
    </row>
    <row r="120" spans="2:2" x14ac:dyDescent="0.25">
      <c r="B120" t="s">
        <v>172</v>
      </c>
    </row>
    <row r="121" spans="2:2" x14ac:dyDescent="0.25">
      <c r="B121" t="s">
        <v>171</v>
      </c>
    </row>
    <row r="122" spans="2:2" x14ac:dyDescent="0.25">
      <c r="B122" t="s">
        <v>170</v>
      </c>
    </row>
    <row r="123" spans="2:2" x14ac:dyDescent="0.25">
      <c r="B123" t="s">
        <v>169</v>
      </c>
    </row>
    <row r="124" spans="2:2" x14ac:dyDescent="0.25">
      <c r="B124" t="s">
        <v>168</v>
      </c>
    </row>
    <row r="125" spans="2:2" x14ac:dyDescent="0.25">
      <c r="B125" t="s">
        <v>167</v>
      </c>
    </row>
    <row r="126" spans="2:2" x14ac:dyDescent="0.25">
      <c r="B126" t="s">
        <v>166</v>
      </c>
    </row>
    <row r="127" spans="2:2" x14ac:dyDescent="0.25">
      <c r="B127" t="s">
        <v>165</v>
      </c>
    </row>
    <row r="128" spans="2:2" x14ac:dyDescent="0.25">
      <c r="B128" t="s">
        <v>164</v>
      </c>
    </row>
    <row r="129" spans="2:2" x14ac:dyDescent="0.25">
      <c r="B129" t="s">
        <v>163</v>
      </c>
    </row>
    <row r="130" spans="2:2" x14ac:dyDescent="0.25">
      <c r="B130" t="s">
        <v>162</v>
      </c>
    </row>
    <row r="131" spans="2:2" x14ac:dyDescent="0.25">
      <c r="B131" s="82" t="s">
        <v>161</v>
      </c>
    </row>
    <row r="133" spans="2:2" x14ac:dyDescent="0.25">
      <c r="B133" s="21" t="s">
        <v>160</v>
      </c>
    </row>
    <row r="134" spans="2:2" x14ac:dyDescent="0.25">
      <c r="B134" t="s">
        <v>159</v>
      </c>
    </row>
    <row r="135" spans="2:2" x14ac:dyDescent="0.25">
      <c r="B135" t="s">
        <v>158</v>
      </c>
    </row>
    <row r="136" spans="2:2" x14ac:dyDescent="0.25">
      <c r="B136" t="s">
        <v>157</v>
      </c>
    </row>
    <row r="137" spans="2:2" x14ac:dyDescent="0.25">
      <c r="B137" t="s">
        <v>156</v>
      </c>
    </row>
    <row r="138" spans="2:2" x14ac:dyDescent="0.25">
      <c r="B138" t="s">
        <v>155</v>
      </c>
    </row>
    <row r="139" spans="2:2" x14ac:dyDescent="0.25">
      <c r="B139" t="s">
        <v>154</v>
      </c>
    </row>
    <row r="140" spans="2:2" x14ac:dyDescent="0.25">
      <c r="B140" t="s">
        <v>153</v>
      </c>
    </row>
    <row r="141" spans="2:2" x14ac:dyDescent="0.25">
      <c r="B141" t="s">
        <v>152</v>
      </c>
    </row>
    <row r="142" spans="2:2" x14ac:dyDescent="0.25">
      <c r="B142" t="s">
        <v>151</v>
      </c>
    </row>
    <row r="143" spans="2:2" x14ac:dyDescent="0.25">
      <c r="B143" t="s">
        <v>150</v>
      </c>
    </row>
    <row r="144" spans="2:2" x14ac:dyDescent="0.25">
      <c r="B144" t="s">
        <v>149</v>
      </c>
    </row>
    <row r="145" spans="2:2" x14ac:dyDescent="0.25">
      <c r="B145" t="s">
        <v>148</v>
      </c>
    </row>
    <row r="146" spans="2:2" x14ac:dyDescent="0.25">
      <c r="B146" t="s">
        <v>147</v>
      </c>
    </row>
    <row r="147" spans="2:2" x14ac:dyDescent="0.25">
      <c r="B147" t="s">
        <v>146</v>
      </c>
    </row>
    <row r="148" spans="2:2" x14ac:dyDescent="0.25">
      <c r="B148" t="s">
        <v>145</v>
      </c>
    </row>
    <row r="149" spans="2:2" x14ac:dyDescent="0.25">
      <c r="B149" t="s">
        <v>144</v>
      </c>
    </row>
    <row r="150" spans="2:2" x14ac:dyDescent="0.25">
      <c r="B150" t="s">
        <v>143</v>
      </c>
    </row>
  </sheetData>
  <mergeCells count="10">
    <mergeCell ref="K57:P57"/>
    <mergeCell ref="H58:I58"/>
    <mergeCell ref="M58:N58"/>
    <mergeCell ref="O58:P58"/>
    <mergeCell ref="E2:S2"/>
    <mergeCell ref="E3:M3"/>
    <mergeCell ref="N3:S3"/>
    <mergeCell ref="E4:G4"/>
    <mergeCell ref="H4:J4"/>
    <mergeCell ref="K4:M4"/>
  </mergeCells>
  <pageMargins left="0.7" right="0.7" top="0.75" bottom="0.75" header="0.3" footer="0.3"/>
  <pageSetup paperSize="9" orientation="portrait" verticalDpi="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71"/>
  <sheetViews>
    <sheetView topLeftCell="C28" zoomScale="91" zoomScaleNormal="91" workbookViewId="0">
      <selection activeCell="L51" sqref="L51"/>
    </sheetView>
  </sheetViews>
  <sheetFormatPr defaultRowHeight="15" x14ac:dyDescent="0.25"/>
  <cols>
    <col min="2" max="2" width="20.7109375" customWidth="1"/>
    <col min="3" max="3" width="16.85546875" customWidth="1"/>
    <col min="4" max="4" width="17.42578125" customWidth="1"/>
    <col min="5" max="5" width="27.140625" customWidth="1"/>
    <col min="6" max="6" width="17.7109375" customWidth="1"/>
    <col min="7" max="7" width="18" customWidth="1"/>
    <col min="8" max="8" width="20.140625" customWidth="1"/>
    <col min="9" max="9" width="14.5703125" customWidth="1"/>
    <col min="10" max="10" width="16" customWidth="1"/>
    <col min="11" max="11" width="21.42578125" customWidth="1"/>
    <col min="12" max="12" width="12.85546875" customWidth="1"/>
    <col min="17" max="17" width="13.7109375" customWidth="1"/>
    <col min="18" max="18" width="12.28515625" customWidth="1"/>
    <col min="20" max="20" width="22" customWidth="1"/>
  </cols>
  <sheetData>
    <row r="2" spans="2:18" ht="18.75" x14ac:dyDescent="0.3">
      <c r="B2" s="43" t="s">
        <v>142</v>
      </c>
      <c r="C2" s="42"/>
      <c r="D2" s="42"/>
      <c r="E2" s="42"/>
    </row>
    <row r="3" spans="2:18" ht="18.75" x14ac:dyDescent="0.25">
      <c r="B3" s="171" t="s">
        <v>294</v>
      </c>
      <c r="C3" s="172"/>
      <c r="D3" s="172"/>
      <c r="E3" s="172"/>
      <c r="F3" s="173"/>
      <c r="G3" s="173"/>
      <c r="H3" s="173"/>
      <c r="I3" s="162"/>
      <c r="J3" s="163"/>
    </row>
    <row r="4" spans="2:18" ht="18.75" x14ac:dyDescent="0.25">
      <c r="B4" s="174" t="s">
        <v>314</v>
      </c>
      <c r="C4" s="175"/>
      <c r="D4" s="175"/>
      <c r="E4" s="175"/>
      <c r="F4" s="176"/>
      <c r="G4" s="176"/>
      <c r="H4" s="176"/>
      <c r="I4" s="166"/>
      <c r="J4" s="167"/>
    </row>
    <row r="5" spans="2:18" ht="18.75" x14ac:dyDescent="0.25">
      <c r="B5" s="174" t="s">
        <v>315</v>
      </c>
      <c r="C5" s="175"/>
      <c r="D5" s="175"/>
      <c r="E5" s="175"/>
      <c r="F5" s="176"/>
      <c r="G5" s="176"/>
      <c r="H5" s="176"/>
      <c r="I5" s="166"/>
      <c r="J5" s="167"/>
    </row>
    <row r="6" spans="2:18" ht="15.75" x14ac:dyDescent="0.25">
      <c r="B6" s="174" t="s">
        <v>92</v>
      </c>
      <c r="C6" s="176"/>
      <c r="D6" s="176"/>
      <c r="E6" s="176"/>
      <c r="F6" s="176"/>
      <c r="G6" s="176"/>
      <c r="H6" s="176"/>
      <c r="I6" s="166"/>
      <c r="J6" s="167"/>
    </row>
    <row r="7" spans="2:18" x14ac:dyDescent="0.25">
      <c r="B7" s="229" t="s">
        <v>297</v>
      </c>
      <c r="C7" s="230"/>
      <c r="D7" s="230"/>
      <c r="E7" s="230"/>
      <c r="F7" s="230"/>
      <c r="G7" s="230"/>
      <c r="H7" s="230"/>
      <c r="I7" s="166"/>
      <c r="J7" s="167"/>
    </row>
    <row r="8" spans="2:18" x14ac:dyDescent="0.25">
      <c r="B8" s="231"/>
      <c r="C8" s="230"/>
      <c r="D8" s="230"/>
      <c r="E8" s="230"/>
      <c r="F8" s="230"/>
      <c r="G8" s="230"/>
      <c r="H8" s="230"/>
      <c r="I8" s="166"/>
      <c r="J8" s="167"/>
    </row>
    <row r="9" spans="2:18" x14ac:dyDescent="0.25">
      <c r="B9" s="232"/>
      <c r="C9" s="233"/>
      <c r="D9" s="233"/>
      <c r="E9" s="233"/>
      <c r="F9" s="233"/>
      <c r="G9" s="233"/>
      <c r="H9" s="233"/>
      <c r="I9" s="169"/>
      <c r="J9" s="170"/>
    </row>
    <row r="10" spans="2:18" ht="15.75" x14ac:dyDescent="0.25">
      <c r="B10" s="41"/>
    </row>
    <row r="11" spans="2:18" x14ac:dyDescent="0.25">
      <c r="B11" t="s">
        <v>88</v>
      </c>
      <c r="E11" t="s">
        <v>87</v>
      </c>
      <c r="I11" t="s">
        <v>86</v>
      </c>
      <c r="Q11" s="40"/>
      <c r="R11" s="40"/>
    </row>
    <row r="12" spans="2:18" x14ac:dyDescent="0.25">
      <c r="B12" t="s">
        <v>85</v>
      </c>
      <c r="C12" s="4" t="s">
        <v>84</v>
      </c>
      <c r="E12" t="s">
        <v>83</v>
      </c>
      <c r="I12" t="s">
        <v>79</v>
      </c>
    </row>
    <row r="13" spans="2:18" x14ac:dyDescent="0.25">
      <c r="B13" t="s">
        <v>82</v>
      </c>
      <c r="C13" s="4" t="s">
        <v>81</v>
      </c>
      <c r="E13" t="s">
        <v>80</v>
      </c>
      <c r="I13" t="s">
        <v>79</v>
      </c>
      <c r="J13" t="s">
        <v>78</v>
      </c>
    </row>
    <row r="14" spans="2:18" x14ac:dyDescent="0.25">
      <c r="B14" t="s">
        <v>77</v>
      </c>
      <c r="C14" s="4" t="s">
        <v>76</v>
      </c>
      <c r="E14" t="s">
        <v>75</v>
      </c>
      <c r="I14" t="s">
        <v>74</v>
      </c>
    </row>
    <row r="15" spans="2:18" x14ac:dyDescent="0.25">
      <c r="B15" t="s">
        <v>73</v>
      </c>
      <c r="C15" s="4" t="s">
        <v>72</v>
      </c>
      <c r="E15" t="s">
        <v>71</v>
      </c>
      <c r="I15" t="s">
        <v>70</v>
      </c>
    </row>
    <row r="16" spans="2:18" x14ac:dyDescent="0.25">
      <c r="B16" t="s">
        <v>17</v>
      </c>
      <c r="C16" s="4" t="s">
        <v>69</v>
      </c>
      <c r="E16" t="s">
        <v>68</v>
      </c>
    </row>
    <row r="17" spans="2:17" ht="15" customHeight="1" x14ac:dyDescent="0.25">
      <c r="B17" t="s">
        <v>65</v>
      </c>
      <c r="C17" s="4" t="s">
        <v>64</v>
      </c>
      <c r="E17" s="40"/>
      <c r="F17" s="40"/>
      <c r="G17" s="40"/>
    </row>
    <row r="18" spans="2:17" x14ac:dyDescent="0.25">
      <c r="E18" s="40"/>
      <c r="F18" s="40"/>
      <c r="G18" s="40"/>
      <c r="I18" t="s">
        <v>63</v>
      </c>
    </row>
    <row r="19" spans="2:17" x14ac:dyDescent="0.25">
      <c r="B19" t="s">
        <v>62</v>
      </c>
      <c r="C19" s="4" t="s">
        <v>61</v>
      </c>
    </row>
    <row r="20" spans="2:17" x14ac:dyDescent="0.25">
      <c r="B20" t="s">
        <v>14</v>
      </c>
      <c r="C20" s="4" t="s">
        <v>66</v>
      </c>
      <c r="E20" t="s">
        <v>58</v>
      </c>
      <c r="I20" t="s">
        <v>57</v>
      </c>
      <c r="K20" t="s">
        <v>56</v>
      </c>
    </row>
    <row r="21" spans="2:17" x14ac:dyDescent="0.25">
      <c r="C21" s="4"/>
      <c r="E21" t="s">
        <v>46</v>
      </c>
      <c r="I21" t="s">
        <v>53</v>
      </c>
    </row>
    <row r="22" spans="2:17" ht="15" customHeight="1" x14ac:dyDescent="0.25">
      <c r="B22" t="s">
        <v>141</v>
      </c>
      <c r="C22" s="4" t="s">
        <v>140</v>
      </c>
      <c r="E22" t="s">
        <v>52</v>
      </c>
      <c r="I22" s="21" t="s">
        <v>51</v>
      </c>
      <c r="J22" s="21"/>
      <c r="K22" t="s">
        <v>50</v>
      </c>
    </row>
    <row r="23" spans="2:17" x14ac:dyDescent="0.25">
      <c r="B23" t="s">
        <v>139</v>
      </c>
      <c r="C23" s="4" t="s">
        <v>138</v>
      </c>
      <c r="E23" t="s">
        <v>49</v>
      </c>
      <c r="I23" t="s">
        <v>48</v>
      </c>
      <c r="K23" t="s">
        <v>47</v>
      </c>
    </row>
    <row r="24" spans="2:17" x14ac:dyDescent="0.25">
      <c r="B24" t="s">
        <v>137</v>
      </c>
      <c r="C24" s="4" t="s">
        <v>136</v>
      </c>
      <c r="E24" t="s">
        <v>46</v>
      </c>
      <c r="I24" t="s">
        <v>45</v>
      </c>
    </row>
    <row r="25" spans="2:17" x14ac:dyDescent="0.25">
      <c r="E25" t="s">
        <v>44</v>
      </c>
      <c r="I25" s="21" t="s">
        <v>43</v>
      </c>
      <c r="J25" s="21"/>
      <c r="K25" t="s">
        <v>42</v>
      </c>
    </row>
    <row r="26" spans="2:17" x14ac:dyDescent="0.25">
      <c r="E26" t="s">
        <v>41</v>
      </c>
      <c r="I26" s="21" t="s">
        <v>40</v>
      </c>
      <c r="J26" s="21"/>
    </row>
    <row r="27" spans="2:17" x14ac:dyDescent="0.25">
      <c r="E27" s="27" t="s">
        <v>135</v>
      </c>
      <c r="F27" s="26"/>
      <c r="G27" s="26"/>
      <c r="H27" s="26"/>
      <c r="I27" s="27" t="s">
        <v>38</v>
      </c>
      <c r="J27" s="27"/>
      <c r="K27" s="26"/>
    </row>
    <row r="28" spans="2:17" x14ac:dyDescent="0.25">
      <c r="B28" s="29"/>
      <c r="C28" s="28"/>
      <c r="E28" s="27" t="s">
        <v>134</v>
      </c>
      <c r="F28" s="26"/>
      <c r="G28" s="26"/>
      <c r="H28" s="26"/>
      <c r="I28" s="27" t="s">
        <v>133</v>
      </c>
      <c r="J28" s="27"/>
      <c r="K28" s="26"/>
    </row>
    <row r="29" spans="2:17" x14ac:dyDescent="0.25">
      <c r="B29" s="32" t="s">
        <v>27</v>
      </c>
      <c r="C29" s="31" t="s">
        <v>26</v>
      </c>
      <c r="D29" s="31" t="s">
        <v>25</v>
      </c>
      <c r="E29" s="27"/>
      <c r="F29" s="26"/>
      <c r="G29" s="26"/>
      <c r="H29" s="26"/>
      <c r="I29" s="27"/>
      <c r="J29" s="27"/>
      <c r="K29" s="26"/>
    </row>
    <row r="30" spans="2:17" x14ac:dyDescent="0.25">
      <c r="B30" s="30" t="s">
        <v>24</v>
      </c>
      <c r="C30" s="28">
        <v>0.2</v>
      </c>
      <c r="D30" s="28">
        <v>0.5</v>
      </c>
      <c r="E30" s="27"/>
      <c r="F30" s="26"/>
      <c r="H30" s="26"/>
      <c r="I30" s="27"/>
      <c r="J30" s="27"/>
      <c r="K30" s="26"/>
    </row>
    <row r="31" spans="2:17" x14ac:dyDescent="0.25">
      <c r="B31" s="30" t="s">
        <v>23</v>
      </c>
      <c r="C31" s="28">
        <v>0.5</v>
      </c>
      <c r="D31" s="28">
        <v>1.5</v>
      </c>
      <c r="E31" s="27"/>
      <c r="F31" s="26"/>
      <c r="G31" s="26"/>
      <c r="H31" s="26"/>
      <c r="I31" s="27"/>
      <c r="J31" s="27"/>
      <c r="K31" s="26"/>
    </row>
    <row r="32" spans="2:17" x14ac:dyDescent="0.25">
      <c r="G32" s="26"/>
      <c r="H32" s="26"/>
      <c r="I32" s="27"/>
      <c r="J32" s="27"/>
      <c r="K32" s="26"/>
      <c r="Q32" s="195"/>
    </row>
    <row r="33" spans="2:12" x14ac:dyDescent="0.25">
      <c r="B33" s="80" t="s">
        <v>132</v>
      </c>
      <c r="C33" s="53"/>
      <c r="D33" s="52"/>
      <c r="E33" s="80" t="s">
        <v>131</v>
      </c>
      <c r="F33" s="53"/>
      <c r="G33" s="81"/>
      <c r="H33" s="80" t="s">
        <v>130</v>
      </c>
      <c r="I33" s="53"/>
      <c r="J33" s="79"/>
      <c r="K33" s="80" t="s">
        <v>313</v>
      </c>
      <c r="L33" s="52"/>
    </row>
    <row r="34" spans="2:12" x14ac:dyDescent="0.25">
      <c r="B34" s="198"/>
      <c r="C34" s="26"/>
      <c r="D34" s="48"/>
      <c r="E34" s="192" t="s">
        <v>308</v>
      </c>
      <c r="F34" s="193">
        <v>50000</v>
      </c>
      <c r="G34" s="127"/>
      <c r="H34" s="198"/>
      <c r="I34" s="26"/>
      <c r="J34" s="199"/>
      <c r="K34" s="49"/>
      <c r="L34" s="48"/>
    </row>
    <row r="35" spans="2:12" x14ac:dyDescent="0.25">
      <c r="B35" s="198"/>
      <c r="C35" s="26"/>
      <c r="D35" s="48"/>
      <c r="E35" s="192" t="s">
        <v>307</v>
      </c>
      <c r="F35" s="195">
        <v>100</v>
      </c>
      <c r="G35" s="127"/>
      <c r="H35" s="198"/>
      <c r="I35" s="26"/>
      <c r="J35" s="199"/>
      <c r="K35" s="49"/>
      <c r="L35" s="48"/>
    </row>
    <row r="36" spans="2:12" x14ac:dyDescent="0.25">
      <c r="B36" s="198"/>
      <c r="C36" s="26"/>
      <c r="D36" s="48"/>
      <c r="E36" s="192" t="s">
        <v>306</v>
      </c>
      <c r="F36" s="194">
        <v>0.5</v>
      </c>
      <c r="G36" s="127"/>
      <c r="H36" s="198"/>
      <c r="I36" s="26"/>
      <c r="J36" s="199"/>
      <c r="K36" s="49"/>
      <c r="L36" s="48"/>
    </row>
    <row r="37" spans="2:12" ht="45" x14ac:dyDescent="0.25">
      <c r="B37" s="50" t="s">
        <v>129</v>
      </c>
      <c r="C37" s="51">
        <v>1.5</v>
      </c>
      <c r="D37" s="48" t="s">
        <v>18</v>
      </c>
      <c r="E37" s="50" t="s">
        <v>128</v>
      </c>
      <c r="F37" s="197">
        <f>$F$34*$F$35*$F$36</f>
        <v>2500000</v>
      </c>
      <c r="G37" s="48" t="s">
        <v>10</v>
      </c>
      <c r="H37" s="49" t="s">
        <v>127</v>
      </c>
      <c r="I37" s="78">
        <v>0.75</v>
      </c>
      <c r="J37" s="48" t="s">
        <v>10</v>
      </c>
      <c r="K37" s="208" t="s">
        <v>317</v>
      </c>
      <c r="L37" s="209">
        <v>1.4999999999999999E-2</v>
      </c>
    </row>
    <row r="38" spans="2:12" x14ac:dyDescent="0.25">
      <c r="B38" s="50" t="s">
        <v>126</v>
      </c>
      <c r="C38" s="51">
        <v>0.5</v>
      </c>
      <c r="D38" s="48" t="s">
        <v>18</v>
      </c>
      <c r="E38" s="50" t="s">
        <v>125</v>
      </c>
      <c r="F38" s="51">
        <v>0.1</v>
      </c>
      <c r="G38" s="48" t="s">
        <v>12</v>
      </c>
      <c r="H38" s="49" t="s">
        <v>124</v>
      </c>
      <c r="I38" s="74">
        <v>1</v>
      </c>
      <c r="J38" s="77" t="s">
        <v>12</v>
      </c>
      <c r="K38" s="115"/>
      <c r="L38" s="48"/>
    </row>
    <row r="39" spans="2:12" x14ac:dyDescent="0.25">
      <c r="B39" s="50" t="s">
        <v>123</v>
      </c>
      <c r="C39" s="51">
        <v>2</v>
      </c>
      <c r="D39" s="48" t="s">
        <v>122</v>
      </c>
      <c r="E39" s="50" t="s">
        <v>11</v>
      </c>
      <c r="F39" s="76">
        <f>(1-F38)*F37</f>
        <v>2250000</v>
      </c>
      <c r="G39" s="48" t="s">
        <v>10</v>
      </c>
      <c r="H39" s="75" t="s">
        <v>121</v>
      </c>
      <c r="I39" s="74">
        <v>200</v>
      </c>
      <c r="J39" s="48" t="s">
        <v>10</v>
      </c>
      <c r="K39" s="49"/>
      <c r="L39" s="48"/>
    </row>
    <row r="40" spans="2:12" x14ac:dyDescent="0.25">
      <c r="B40" s="72" t="s">
        <v>120</v>
      </c>
      <c r="C40" s="73">
        <v>4970</v>
      </c>
      <c r="D40" s="68" t="s">
        <v>6</v>
      </c>
      <c r="E40" s="72" t="s">
        <v>9</v>
      </c>
      <c r="F40" s="71">
        <f>F39/C40</f>
        <v>452.7162977867203</v>
      </c>
      <c r="G40" s="68" t="s">
        <v>8</v>
      </c>
      <c r="H40" s="70" t="s">
        <v>9</v>
      </c>
      <c r="I40" s="69">
        <f>I37*I38*I39</f>
        <v>150</v>
      </c>
      <c r="J40" s="68" t="s">
        <v>8</v>
      </c>
      <c r="K40" s="70"/>
      <c r="L40" s="68"/>
    </row>
    <row r="42" spans="2:12" x14ac:dyDescent="0.25">
      <c r="B42" s="202" t="s">
        <v>299</v>
      </c>
      <c r="C42" s="203"/>
      <c r="D42" s="203"/>
      <c r="E42" s="203"/>
      <c r="F42" s="204"/>
    </row>
    <row r="43" spans="2:12" x14ac:dyDescent="0.25">
      <c r="B43" s="205" t="s">
        <v>316</v>
      </c>
      <c r="C43" s="206"/>
      <c r="D43" s="206"/>
      <c r="E43" s="206"/>
      <c r="F43" s="207"/>
    </row>
    <row r="44" spans="2:12" x14ac:dyDescent="0.25">
      <c r="B44" s="26"/>
      <c r="C44" s="26"/>
      <c r="D44" s="26"/>
    </row>
    <row r="45" spans="2:12" x14ac:dyDescent="0.25">
      <c r="B45" s="19"/>
      <c r="C45" s="17"/>
      <c r="D45" s="17"/>
      <c r="E45" s="16"/>
      <c r="G45" s="3"/>
    </row>
    <row r="46" spans="2:12" x14ac:dyDescent="0.25">
      <c r="C46" s="225" t="s">
        <v>119</v>
      </c>
      <c r="D46" s="226"/>
      <c r="E46" s="227" t="s">
        <v>118</v>
      </c>
      <c r="F46" s="228"/>
      <c r="G46" s="20" t="s">
        <v>5</v>
      </c>
      <c r="H46" s="66"/>
      <c r="I46" t="s">
        <v>381</v>
      </c>
    </row>
    <row r="47" spans="2:12" x14ac:dyDescent="0.25">
      <c r="B47" s="14" t="s">
        <v>4</v>
      </c>
      <c r="C47" s="13" t="s">
        <v>3</v>
      </c>
      <c r="D47" s="12" t="s">
        <v>2</v>
      </c>
      <c r="E47" s="65" t="s">
        <v>3</v>
      </c>
      <c r="F47" s="64" t="s">
        <v>2</v>
      </c>
      <c r="G47" s="65" t="s">
        <v>117</v>
      </c>
      <c r="H47" s="64" t="s">
        <v>0</v>
      </c>
      <c r="I47" t="s">
        <v>310</v>
      </c>
      <c r="J47" t="s">
        <v>311</v>
      </c>
      <c r="K47" t="s">
        <v>312</v>
      </c>
    </row>
    <row r="48" spans="2:12" x14ac:dyDescent="0.25">
      <c r="B48" s="180">
        <v>0</v>
      </c>
      <c r="C48" s="144">
        <v>0</v>
      </c>
      <c r="D48" s="142">
        <v>0</v>
      </c>
      <c r="E48" s="144">
        <f>($I$40)*($C$37*$B48+$C$38*$B48)*(1+$C$38*$B48/(2*$C$39))</f>
        <v>0</v>
      </c>
      <c r="F48" s="143">
        <v>0</v>
      </c>
      <c r="G48" s="63">
        <v>0</v>
      </c>
      <c r="H48" s="62">
        <v>0</v>
      </c>
      <c r="I48" s="201">
        <f>C48/((1+$L$37)^B48)</f>
        <v>0</v>
      </c>
      <c r="J48" s="201">
        <f>E48/((1+$L$37)^B48)</f>
        <v>0</v>
      </c>
      <c r="K48" s="201">
        <f>(C48+E48)/((1+$L$37)^B48)</f>
        <v>0</v>
      </c>
    </row>
    <row r="49" spans="2:12" x14ac:dyDescent="0.25">
      <c r="B49" s="181">
        <v>1</v>
      </c>
      <c r="C49" s="144">
        <f t="shared" ref="C49:C80" si="0">IF(((1-$F$38)*$F$37/$C$40)*($C$37*$B49+$C$38*$B49)*(1+$C$38*$B49/(2*$C$39))&gt;((1-$F$38)*$F$37),((1-$F$38)*$F$37),((1-$F$38)*$F$37/$C$40)*($C$37*$B49+$C$38*$B49)*(1+$C$38*$B49/(2*$C$39)))</f>
        <v>1018.6116700201206</v>
      </c>
      <c r="D49" s="142">
        <f>C49</f>
        <v>1018.6116700201206</v>
      </c>
      <c r="E49" s="144">
        <f t="shared" ref="E49:E80" si="1">IF((($I$40)*($C$37*$B49+$C$38*$B49)*(1+$C$38*$B49/(2*$C$39)))&gt;($I$40*$C$40),($I$40*$C$40),(($I$40)*($C$37*$B49+$C$38*$B49)*(1+$C$38*$B49/(2*$C$39))))</f>
        <v>337.5</v>
      </c>
      <c r="F49" s="142">
        <f t="shared" ref="F49:F80" si="2">F48+E49</f>
        <v>337.5</v>
      </c>
      <c r="G49" s="61">
        <f t="shared" ref="G49:G80" si="3">($C$37*$B49+$C$38*$B49)*(1+$C$38*$B49/(2*$C$39))</f>
        <v>2.25</v>
      </c>
      <c r="H49" s="60">
        <f t="shared" ref="H49:H80" si="4">($C$37+$C$38)*$B49</f>
        <v>2</v>
      </c>
      <c r="I49" s="201">
        <f t="shared" ref="I49:I112" si="5">C49/((1+$L$37)^B49)</f>
        <v>1003.5582955863258</v>
      </c>
      <c r="J49" s="201">
        <f t="shared" ref="J49:J112" si="6">E49/((1+$L$37)^B49)</f>
        <v>332.51231527093597</v>
      </c>
      <c r="K49" s="201">
        <f t="shared" ref="K49:K112" si="7">(C49+E49)/((1+$L$37)^B49)</f>
        <v>1336.0706108572617</v>
      </c>
    </row>
    <row r="50" spans="2:12" x14ac:dyDescent="0.25">
      <c r="B50" s="181">
        <v>2</v>
      </c>
      <c r="C50" s="144">
        <f t="shared" si="0"/>
        <v>2263.5814889336016</v>
      </c>
      <c r="D50" s="142">
        <f t="shared" ref="D50:D81" si="8">D49+C50</f>
        <v>3282.1931589537221</v>
      </c>
      <c r="E50" s="144">
        <f t="shared" si="1"/>
        <v>750</v>
      </c>
      <c r="F50" s="142">
        <f t="shared" si="2"/>
        <v>1087.5</v>
      </c>
      <c r="G50" s="61">
        <f t="shared" si="3"/>
        <v>5</v>
      </c>
      <c r="H50" s="60">
        <f t="shared" si="4"/>
        <v>4</v>
      </c>
      <c r="I50" s="201">
        <f t="shared" si="5"/>
        <v>2197.1719662535875</v>
      </c>
      <c r="J50" s="201">
        <f t="shared" si="6"/>
        <v>727.99631148535536</v>
      </c>
      <c r="K50" s="201">
        <f t="shared" si="7"/>
        <v>2925.1682777389428</v>
      </c>
    </row>
    <row r="51" spans="2:12" x14ac:dyDescent="0.25">
      <c r="B51" s="181">
        <v>3</v>
      </c>
      <c r="C51" s="144">
        <f t="shared" si="0"/>
        <v>3734.9094567404422</v>
      </c>
      <c r="D51" s="142">
        <f t="shared" si="8"/>
        <v>7017.1026156941643</v>
      </c>
      <c r="E51" s="144">
        <f t="shared" si="1"/>
        <v>1237.5</v>
      </c>
      <c r="F51" s="142">
        <f t="shared" si="2"/>
        <v>2325</v>
      </c>
      <c r="G51" s="61">
        <f t="shared" si="3"/>
        <v>8.25</v>
      </c>
      <c r="H51" s="60">
        <f t="shared" si="4"/>
        <v>6</v>
      </c>
      <c r="I51" s="201">
        <f t="shared" si="5"/>
        <v>3571.757383564945</v>
      </c>
      <c r="J51" s="201">
        <f t="shared" si="6"/>
        <v>1183.4422797545187</v>
      </c>
      <c r="K51" s="201">
        <f t="shared" si="7"/>
        <v>4755.199663319464</v>
      </c>
    </row>
    <row r="52" spans="2:12" x14ac:dyDescent="0.25">
      <c r="B52" s="181">
        <v>4</v>
      </c>
      <c r="C52" s="144">
        <f t="shared" si="0"/>
        <v>5432.5955734406434</v>
      </c>
      <c r="D52" s="142">
        <f t="shared" si="8"/>
        <v>12449.698189134808</v>
      </c>
      <c r="E52" s="144">
        <f t="shared" si="1"/>
        <v>1800</v>
      </c>
      <c r="F52" s="142">
        <f t="shared" si="2"/>
        <v>4125</v>
      </c>
      <c r="G52" s="61">
        <f t="shared" si="3"/>
        <v>12</v>
      </c>
      <c r="H52" s="60">
        <f t="shared" si="4"/>
        <v>8</v>
      </c>
      <c r="I52" s="201">
        <f t="shared" si="5"/>
        <v>5118.5058788212391</v>
      </c>
      <c r="J52" s="201">
        <f t="shared" si="6"/>
        <v>1695.931614516104</v>
      </c>
      <c r="K52" s="201">
        <f t="shared" si="7"/>
        <v>6814.4374933373429</v>
      </c>
      <c r="L52" s="57"/>
    </row>
    <row r="53" spans="2:12" x14ac:dyDescent="0.25">
      <c r="B53" s="181">
        <v>5</v>
      </c>
      <c r="C53" s="144">
        <f t="shared" si="0"/>
        <v>7356.6398390342056</v>
      </c>
      <c r="D53" s="142">
        <f t="shared" si="8"/>
        <v>19806.338028169012</v>
      </c>
      <c r="E53" s="144">
        <f t="shared" si="1"/>
        <v>2437.5</v>
      </c>
      <c r="F53" s="142">
        <f t="shared" si="2"/>
        <v>6562.5</v>
      </c>
      <c r="G53" s="61">
        <f t="shared" si="3"/>
        <v>16.25</v>
      </c>
      <c r="H53" s="60">
        <f t="shared" si="4"/>
        <v>10</v>
      </c>
      <c r="I53" s="201">
        <f t="shared" si="5"/>
        <v>6828.8768908739867</v>
      </c>
      <c r="J53" s="201">
        <f t="shared" si="6"/>
        <v>2262.6345431762475</v>
      </c>
      <c r="K53" s="201">
        <f t="shared" si="7"/>
        <v>9091.5114340502332</v>
      </c>
    </row>
    <row r="54" spans="2:12" x14ac:dyDescent="0.25">
      <c r="B54" s="181">
        <v>6</v>
      </c>
      <c r="C54" s="144">
        <f t="shared" si="0"/>
        <v>9507.0422535211255</v>
      </c>
      <c r="D54" s="142">
        <f t="shared" si="8"/>
        <v>29313.380281690137</v>
      </c>
      <c r="E54" s="144">
        <f t="shared" si="1"/>
        <v>3150</v>
      </c>
      <c r="F54" s="142">
        <f t="shared" si="2"/>
        <v>9712.5</v>
      </c>
      <c r="G54" s="61">
        <f t="shared" si="3"/>
        <v>21</v>
      </c>
      <c r="H54" s="60">
        <f t="shared" si="4"/>
        <v>12</v>
      </c>
      <c r="I54" s="201">
        <f t="shared" si="5"/>
        <v>8694.5912668952624</v>
      </c>
      <c r="J54" s="201">
        <f t="shared" si="6"/>
        <v>2880.8079064312969</v>
      </c>
      <c r="K54" s="201">
        <f t="shared" si="7"/>
        <v>11575.399173326559</v>
      </c>
    </row>
    <row r="55" spans="2:12" x14ac:dyDescent="0.25">
      <c r="B55" s="181">
        <v>7</v>
      </c>
      <c r="C55" s="144">
        <f t="shared" si="0"/>
        <v>11883.802816901409</v>
      </c>
      <c r="D55" s="142">
        <f t="shared" si="8"/>
        <v>41197.183098591544</v>
      </c>
      <c r="E55" s="144">
        <f t="shared" si="1"/>
        <v>3937.5</v>
      </c>
      <c r="F55" s="142">
        <f t="shared" si="2"/>
        <v>13650</v>
      </c>
      <c r="G55" s="61">
        <f t="shared" si="3"/>
        <v>26.25</v>
      </c>
      <c r="H55" s="60">
        <f t="shared" si="4"/>
        <v>14</v>
      </c>
      <c r="I55" s="201">
        <f t="shared" si="5"/>
        <v>10707.624712925202</v>
      </c>
      <c r="J55" s="201">
        <f t="shared" si="6"/>
        <v>3547.7929882158837</v>
      </c>
      <c r="K55" s="201">
        <f t="shared" si="7"/>
        <v>14255.417701141087</v>
      </c>
    </row>
    <row r="56" spans="2:12" x14ac:dyDescent="0.25">
      <c r="B56" s="181">
        <v>8</v>
      </c>
      <c r="C56" s="144">
        <f t="shared" si="0"/>
        <v>14486.92152917505</v>
      </c>
      <c r="D56" s="142">
        <f t="shared" si="8"/>
        <v>55684.104627766596</v>
      </c>
      <c r="E56" s="144">
        <f t="shared" si="1"/>
        <v>4800</v>
      </c>
      <c r="F56" s="142">
        <f t="shared" si="2"/>
        <v>18450</v>
      </c>
      <c r="G56" s="61">
        <f t="shared" si="3"/>
        <v>32</v>
      </c>
      <c r="H56" s="60">
        <f t="shared" si="4"/>
        <v>16</v>
      </c>
      <c r="I56" s="201">
        <f t="shared" si="5"/>
        <v>12860.201391080704</v>
      </c>
      <c r="J56" s="201">
        <f t="shared" si="6"/>
        <v>4261.0133942447401</v>
      </c>
      <c r="K56" s="201">
        <f t="shared" si="7"/>
        <v>17121.214785325443</v>
      </c>
    </row>
    <row r="57" spans="2:12" x14ac:dyDescent="0.25">
      <c r="B57" s="181">
        <v>9</v>
      </c>
      <c r="C57" s="144">
        <f t="shared" si="0"/>
        <v>17316.398390342052</v>
      </c>
      <c r="D57" s="142">
        <f t="shared" si="8"/>
        <v>73000.503018108648</v>
      </c>
      <c r="E57" s="144">
        <f t="shared" si="1"/>
        <v>5737.5</v>
      </c>
      <c r="F57" s="142">
        <f t="shared" si="2"/>
        <v>24187.5</v>
      </c>
      <c r="G57" s="61">
        <f t="shared" si="3"/>
        <v>38.25</v>
      </c>
      <c r="H57" s="60">
        <f t="shared" si="4"/>
        <v>18</v>
      </c>
      <c r="I57" s="201">
        <f t="shared" si="5"/>
        <v>15144.787660370595</v>
      </c>
      <c r="J57" s="201">
        <f t="shared" si="6"/>
        <v>5017.9729781361239</v>
      </c>
      <c r="K57" s="201">
        <f t="shared" si="7"/>
        <v>20162.760638506719</v>
      </c>
    </row>
    <row r="58" spans="2:12" x14ac:dyDescent="0.25">
      <c r="B58" s="181">
        <v>10</v>
      </c>
      <c r="C58" s="144">
        <f t="shared" si="0"/>
        <v>20372.233400402416</v>
      </c>
      <c r="D58" s="142">
        <f t="shared" si="8"/>
        <v>93372.736418511064</v>
      </c>
      <c r="E58" s="144">
        <f t="shared" si="1"/>
        <v>6750</v>
      </c>
      <c r="F58" s="142">
        <f t="shared" si="2"/>
        <v>30937.5</v>
      </c>
      <c r="G58" s="61">
        <f t="shared" si="3"/>
        <v>45</v>
      </c>
      <c r="H58" s="60">
        <f t="shared" si="4"/>
        <v>20</v>
      </c>
      <c r="I58" s="201">
        <f t="shared" si="5"/>
        <v>17554.085958122978</v>
      </c>
      <c r="J58" s="201">
        <f t="shared" si="6"/>
        <v>5816.253814124746</v>
      </c>
      <c r="K58" s="201">
        <f t="shared" si="7"/>
        <v>23370.339772247724</v>
      </c>
    </row>
    <row r="59" spans="2:12" x14ac:dyDescent="0.25">
      <c r="B59" s="181">
        <v>11</v>
      </c>
      <c r="C59" s="144">
        <f t="shared" si="0"/>
        <v>23654.426559356136</v>
      </c>
      <c r="D59" s="142">
        <f t="shared" si="8"/>
        <v>117027.16297786721</v>
      </c>
      <c r="E59" s="144">
        <f t="shared" si="1"/>
        <v>7837.5</v>
      </c>
      <c r="F59" s="142">
        <f t="shared" si="2"/>
        <v>38775</v>
      </c>
      <c r="G59" s="61">
        <f t="shared" si="3"/>
        <v>52.25</v>
      </c>
      <c r="H59" s="60">
        <f t="shared" si="4"/>
        <v>22</v>
      </c>
      <c r="I59" s="201">
        <f t="shared" si="5"/>
        <v>20081.028819089777</v>
      </c>
      <c r="J59" s="201">
        <f t="shared" si="6"/>
        <v>6653.5142153917468</v>
      </c>
      <c r="K59" s="201">
        <f t="shared" si="7"/>
        <v>26734.543034481525</v>
      </c>
    </row>
    <row r="60" spans="2:12" x14ac:dyDescent="0.25">
      <c r="B60" s="181">
        <v>12</v>
      </c>
      <c r="C60" s="144">
        <f t="shared" si="0"/>
        <v>27162.977867203219</v>
      </c>
      <c r="D60" s="142">
        <f t="shared" si="8"/>
        <v>144190.14084507042</v>
      </c>
      <c r="E60" s="144">
        <f t="shared" si="1"/>
        <v>9000</v>
      </c>
      <c r="F60" s="142">
        <f t="shared" si="2"/>
        <v>47775</v>
      </c>
      <c r="G60" s="61">
        <f t="shared" si="3"/>
        <v>60</v>
      </c>
      <c r="H60" s="60">
        <f t="shared" si="4"/>
        <v>24</v>
      </c>
      <c r="I60" s="201">
        <f t="shared" si="5"/>
        <v>22718.773029351818</v>
      </c>
      <c r="J60" s="201">
        <f t="shared" si="6"/>
        <v>7527.4867970585692</v>
      </c>
      <c r="K60" s="201">
        <f t="shared" si="7"/>
        <v>30246.259826410387</v>
      </c>
    </row>
    <row r="61" spans="2:12" x14ac:dyDescent="0.25">
      <c r="B61" s="181">
        <v>13</v>
      </c>
      <c r="C61" s="144">
        <f t="shared" si="0"/>
        <v>30897.887323943658</v>
      </c>
      <c r="D61" s="142">
        <f t="shared" si="8"/>
        <v>175088.02816901408</v>
      </c>
      <c r="E61" s="144">
        <f t="shared" si="1"/>
        <v>10237.5</v>
      </c>
      <c r="F61" s="142">
        <f t="shared" si="2"/>
        <v>58012.5</v>
      </c>
      <c r="G61" s="61">
        <f t="shared" si="3"/>
        <v>68.25</v>
      </c>
      <c r="H61" s="60">
        <f t="shared" si="4"/>
        <v>26</v>
      </c>
      <c r="I61" s="201">
        <f t="shared" si="5"/>
        <v>25460.693912204621</v>
      </c>
      <c r="J61" s="201">
        <f t="shared" si="6"/>
        <v>8435.9765829104654</v>
      </c>
      <c r="K61" s="201">
        <f t="shared" si="7"/>
        <v>33896.67049511509</v>
      </c>
    </row>
    <row r="62" spans="2:12" x14ac:dyDescent="0.25">
      <c r="B62" s="181">
        <v>14</v>
      </c>
      <c r="C62" s="144">
        <f t="shared" si="0"/>
        <v>34859.154929577468</v>
      </c>
      <c r="D62" s="142">
        <f t="shared" si="8"/>
        <v>209947.18309859154</v>
      </c>
      <c r="E62" s="144">
        <f t="shared" si="1"/>
        <v>11550</v>
      </c>
      <c r="F62" s="142">
        <f t="shared" si="2"/>
        <v>69562.5</v>
      </c>
      <c r="G62" s="61">
        <f t="shared" si="3"/>
        <v>77</v>
      </c>
      <c r="H62" s="60">
        <f t="shared" si="4"/>
        <v>28</v>
      </c>
      <c r="I62" s="201">
        <f t="shared" si="5"/>
        <v>28300.379743261434</v>
      </c>
      <c r="J62" s="201">
        <f t="shared" si="6"/>
        <v>9376.8591549339544</v>
      </c>
      <c r="K62" s="201">
        <f t="shared" si="7"/>
        <v>37677.238898195392</v>
      </c>
    </row>
    <row r="63" spans="2:12" x14ac:dyDescent="0.25">
      <c r="B63" s="181">
        <v>15</v>
      </c>
      <c r="C63" s="144">
        <f t="shared" si="0"/>
        <v>39046.780684104626</v>
      </c>
      <c r="D63" s="142">
        <f t="shared" si="8"/>
        <v>248993.96378269617</v>
      </c>
      <c r="E63" s="144">
        <f t="shared" si="1"/>
        <v>12937.5</v>
      </c>
      <c r="F63" s="142">
        <f t="shared" si="2"/>
        <v>82500</v>
      </c>
      <c r="G63" s="61">
        <f t="shared" si="3"/>
        <v>86.25</v>
      </c>
      <c r="H63" s="60">
        <f t="shared" si="4"/>
        <v>30</v>
      </c>
      <c r="I63" s="201">
        <f t="shared" si="5"/>
        <v>31231.626292064469</v>
      </c>
      <c r="J63" s="201">
        <f t="shared" si="6"/>
        <v>10348.078844770695</v>
      </c>
      <c r="K63" s="201">
        <f t="shared" si="7"/>
        <v>41579.705136835168</v>
      </c>
    </row>
    <row r="64" spans="2:12" x14ac:dyDescent="0.25">
      <c r="B64" s="181">
        <v>16</v>
      </c>
      <c r="C64" s="144">
        <f t="shared" si="0"/>
        <v>43460.764587525147</v>
      </c>
      <c r="D64" s="142">
        <f t="shared" si="8"/>
        <v>292454.72837022133</v>
      </c>
      <c r="E64" s="144">
        <f t="shared" si="1"/>
        <v>14400</v>
      </c>
      <c r="F64" s="142">
        <f t="shared" si="2"/>
        <v>96900</v>
      </c>
      <c r="G64" s="61">
        <f t="shared" si="3"/>
        <v>96</v>
      </c>
      <c r="H64" s="60">
        <f t="shared" si="4"/>
        <v>32</v>
      </c>
      <c r="I64" s="201">
        <f t="shared" si="5"/>
        <v>34248.431487549817</v>
      </c>
      <c r="J64" s="201">
        <f t="shared" si="6"/>
        <v>11347.646966208174</v>
      </c>
      <c r="K64" s="201">
        <f t="shared" si="7"/>
        <v>45596.078453757997</v>
      </c>
    </row>
    <row r="65" spans="2:11" x14ac:dyDescent="0.25">
      <c r="B65" s="181">
        <v>17</v>
      </c>
      <c r="C65" s="144">
        <f t="shared" si="0"/>
        <v>48101.106639839032</v>
      </c>
      <c r="D65" s="142">
        <f t="shared" si="8"/>
        <v>340555.83501006034</v>
      </c>
      <c r="E65" s="144">
        <f t="shared" si="1"/>
        <v>15937.5</v>
      </c>
      <c r="F65" s="142">
        <f t="shared" si="2"/>
        <v>112837.5</v>
      </c>
      <c r="G65" s="61">
        <f t="shared" si="3"/>
        <v>106.25</v>
      </c>
      <c r="H65" s="60">
        <f t="shared" si="4"/>
        <v>34</v>
      </c>
      <c r="I65" s="201">
        <f t="shared" si="5"/>
        <v>37344.990204763635</v>
      </c>
      <c r="J65" s="201">
        <f t="shared" si="6"/>
        <v>12373.640087845019</v>
      </c>
      <c r="K65" s="201">
        <f t="shared" si="7"/>
        <v>49718.630292608657</v>
      </c>
    </row>
    <row r="66" spans="2:11" x14ac:dyDescent="0.25">
      <c r="B66" s="181">
        <v>18</v>
      </c>
      <c r="C66" s="144">
        <f t="shared" si="0"/>
        <v>52967.806841046273</v>
      </c>
      <c r="D66" s="142">
        <f t="shared" si="8"/>
        <v>393523.6418511066</v>
      </c>
      <c r="E66" s="144">
        <f t="shared" si="1"/>
        <v>17550</v>
      </c>
      <c r="F66" s="142">
        <f t="shared" si="2"/>
        <v>130387.5</v>
      </c>
      <c r="G66" s="61">
        <f t="shared" si="3"/>
        <v>117</v>
      </c>
      <c r="H66" s="60">
        <f t="shared" si="4"/>
        <v>36</v>
      </c>
      <c r="I66" s="201">
        <f t="shared" si="5"/>
        <v>40515.689170279649</v>
      </c>
      <c r="J66" s="201">
        <f t="shared" si="6"/>
        <v>13424.198345085992</v>
      </c>
      <c r="K66" s="201">
        <f t="shared" si="7"/>
        <v>53939.887515365641</v>
      </c>
    </row>
    <row r="67" spans="2:11" x14ac:dyDescent="0.25">
      <c r="B67" s="181">
        <v>19</v>
      </c>
      <c r="C67" s="144">
        <f t="shared" si="0"/>
        <v>58060.865191146877</v>
      </c>
      <c r="D67" s="142">
        <f t="shared" si="8"/>
        <v>451584.50704225351</v>
      </c>
      <c r="E67" s="144">
        <f t="shared" si="1"/>
        <v>19237.5</v>
      </c>
      <c r="F67" s="142">
        <f t="shared" si="2"/>
        <v>149625</v>
      </c>
      <c r="G67" s="61">
        <f t="shared" si="3"/>
        <v>128.25</v>
      </c>
      <c r="H67" s="60">
        <f t="shared" si="4"/>
        <v>38</v>
      </c>
      <c r="I67" s="201">
        <f t="shared" si="5"/>
        <v>43755.101983818495</v>
      </c>
      <c r="J67" s="201">
        <f t="shared" si="6"/>
        <v>14497.52379063853</v>
      </c>
      <c r="K67" s="201">
        <f t="shared" si="7"/>
        <v>58252.625774457025</v>
      </c>
    </row>
    <row r="68" spans="2:11" x14ac:dyDescent="0.25">
      <c r="B68" s="181">
        <v>20</v>
      </c>
      <c r="C68" s="144">
        <f t="shared" si="0"/>
        <v>63380.281690140844</v>
      </c>
      <c r="D68" s="142">
        <f t="shared" si="8"/>
        <v>514964.78873239434</v>
      </c>
      <c r="E68" s="144">
        <f t="shared" si="1"/>
        <v>21000</v>
      </c>
      <c r="F68" s="142">
        <f t="shared" si="2"/>
        <v>170625</v>
      </c>
      <c r="G68" s="61">
        <f t="shared" si="3"/>
        <v>140</v>
      </c>
      <c r="H68" s="60">
        <f t="shared" si="4"/>
        <v>40</v>
      </c>
      <c r="I68" s="201">
        <f t="shared" si="5"/>
        <v>47057.984253619426</v>
      </c>
      <c r="J68" s="201">
        <f t="shared" si="6"/>
        <v>15591.878782699236</v>
      </c>
      <c r="K68" s="201">
        <f t="shared" si="7"/>
        <v>62649.863036318653</v>
      </c>
    </row>
    <row r="69" spans="2:11" x14ac:dyDescent="0.25">
      <c r="B69" s="181">
        <v>21</v>
      </c>
      <c r="C69" s="144">
        <f t="shared" si="0"/>
        <v>68926.056338028167</v>
      </c>
      <c r="D69" s="142">
        <f t="shared" si="8"/>
        <v>583890.84507042251</v>
      </c>
      <c r="E69" s="144">
        <f t="shared" si="1"/>
        <v>22837.5</v>
      </c>
      <c r="F69" s="142">
        <f t="shared" si="2"/>
        <v>193462.5</v>
      </c>
      <c r="G69" s="61">
        <f t="shared" si="3"/>
        <v>152.25</v>
      </c>
      <c r="H69" s="60">
        <f t="shared" si="4"/>
        <v>42</v>
      </c>
      <c r="I69" s="201">
        <f t="shared" si="5"/>
        <v>50419.268843163671</v>
      </c>
      <c r="J69" s="201">
        <f t="shared" si="6"/>
        <v>16705.584410034899</v>
      </c>
      <c r="K69" s="201">
        <f t="shared" si="7"/>
        <v>67124.853253198569</v>
      </c>
    </row>
    <row r="70" spans="2:11" x14ac:dyDescent="0.25">
      <c r="B70" s="181">
        <v>22</v>
      </c>
      <c r="C70" s="144">
        <f t="shared" si="0"/>
        <v>74698.189134808854</v>
      </c>
      <c r="D70" s="142">
        <f t="shared" si="8"/>
        <v>658589.03420523135</v>
      </c>
      <c r="E70" s="144">
        <f t="shared" si="1"/>
        <v>24750</v>
      </c>
      <c r="F70" s="142">
        <f t="shared" si="2"/>
        <v>218212.5</v>
      </c>
      <c r="G70" s="61">
        <f t="shared" si="3"/>
        <v>165</v>
      </c>
      <c r="H70" s="60">
        <f t="shared" si="4"/>
        <v>44</v>
      </c>
      <c r="I70" s="201">
        <f t="shared" si="5"/>
        <v>53834.061226897087</v>
      </c>
      <c r="J70" s="201">
        <f t="shared" si="6"/>
        <v>17837.018953178569</v>
      </c>
      <c r="K70" s="201">
        <f t="shared" si="7"/>
        <v>71671.08018007566</v>
      </c>
    </row>
    <row r="71" spans="2:11" x14ac:dyDescent="0.25">
      <c r="B71" s="181">
        <v>23</v>
      </c>
      <c r="C71" s="144">
        <f t="shared" si="0"/>
        <v>80696.680080482896</v>
      </c>
      <c r="D71" s="142">
        <f t="shared" si="8"/>
        <v>739285.7142857142</v>
      </c>
      <c r="E71" s="144">
        <f t="shared" si="1"/>
        <v>26737.5</v>
      </c>
      <c r="F71" s="142">
        <f t="shared" si="2"/>
        <v>244950</v>
      </c>
      <c r="G71" s="61">
        <f t="shared" si="3"/>
        <v>178.25</v>
      </c>
      <c r="H71" s="60">
        <f t="shared" si="4"/>
        <v>46</v>
      </c>
      <c r="I71" s="201">
        <f t="shared" si="5"/>
        <v>57297.634952646105</v>
      </c>
      <c r="J71" s="201">
        <f t="shared" si="6"/>
        <v>18984.616380976742</v>
      </c>
      <c r="K71" s="201">
        <f t="shared" si="7"/>
        <v>76282.251333622844</v>
      </c>
    </row>
    <row r="72" spans="2:11" x14ac:dyDescent="0.25">
      <c r="B72" s="181">
        <v>24</v>
      </c>
      <c r="C72" s="144">
        <f t="shared" si="0"/>
        <v>86921.529175050295</v>
      </c>
      <c r="D72" s="142">
        <f t="shared" si="8"/>
        <v>826207.24346076453</v>
      </c>
      <c r="E72" s="144">
        <f t="shared" si="1"/>
        <v>28800</v>
      </c>
      <c r="F72" s="142">
        <f t="shared" si="2"/>
        <v>273750</v>
      </c>
      <c r="G72" s="61">
        <f t="shared" si="3"/>
        <v>192</v>
      </c>
      <c r="H72" s="60">
        <f t="shared" si="4"/>
        <v>48</v>
      </c>
      <c r="I72" s="201">
        <f t="shared" si="5"/>
        <v>60805.427208467954</v>
      </c>
      <c r="J72" s="201">
        <f t="shared" si="6"/>
        <v>20146.864881739049</v>
      </c>
      <c r="K72" s="201">
        <f t="shared" si="7"/>
        <v>80952.292090207004</v>
      </c>
    </row>
    <row r="73" spans="2:11" x14ac:dyDescent="0.25">
      <c r="B73" s="181">
        <v>25</v>
      </c>
      <c r="C73" s="144">
        <f t="shared" si="0"/>
        <v>93372.736418511064</v>
      </c>
      <c r="D73" s="142">
        <f t="shared" si="8"/>
        <v>919579.97987927555</v>
      </c>
      <c r="E73" s="144">
        <f t="shared" si="1"/>
        <v>30937.5</v>
      </c>
      <c r="F73" s="142">
        <f t="shared" si="2"/>
        <v>304687.5</v>
      </c>
      <c r="G73" s="61">
        <f t="shared" si="3"/>
        <v>206.25</v>
      </c>
      <c r="H73" s="60">
        <f t="shared" si="4"/>
        <v>50</v>
      </c>
      <c r="I73" s="201">
        <f t="shared" si="5"/>
        <v>64353.034491720631</v>
      </c>
      <c r="J73" s="201">
        <f t="shared" si="6"/>
        <v>21322.305428256768</v>
      </c>
      <c r="K73" s="201">
        <f t="shared" si="7"/>
        <v>85675.339919977399</v>
      </c>
    </row>
    <row r="74" spans="2:11" x14ac:dyDescent="0.25">
      <c r="B74" s="181">
        <v>26</v>
      </c>
      <c r="C74" s="144">
        <f t="shared" si="0"/>
        <v>100050.30181086517</v>
      </c>
      <c r="D74" s="142">
        <f t="shared" si="8"/>
        <v>1019630.2816901407</v>
      </c>
      <c r="E74" s="144">
        <f t="shared" si="1"/>
        <v>33150</v>
      </c>
      <c r="F74" s="142">
        <f t="shared" si="2"/>
        <v>337837.5</v>
      </c>
      <c r="G74" s="61">
        <f t="shared" si="3"/>
        <v>221</v>
      </c>
      <c r="H74" s="60">
        <f t="shared" si="4"/>
        <v>52</v>
      </c>
      <c r="I74" s="201">
        <f t="shared" si="5"/>
        <v>67936.208378183059</v>
      </c>
      <c r="J74" s="201">
        <f t="shared" si="6"/>
        <v>22509.530375971324</v>
      </c>
      <c r="K74" s="201">
        <f t="shared" si="7"/>
        <v>90445.738754154372</v>
      </c>
    </row>
    <row r="75" spans="2:11" x14ac:dyDescent="0.25">
      <c r="B75" s="181">
        <v>27</v>
      </c>
      <c r="C75" s="144">
        <f t="shared" si="0"/>
        <v>106954.22535211267</v>
      </c>
      <c r="D75" s="142">
        <f t="shared" si="8"/>
        <v>1126584.5070422534</v>
      </c>
      <c r="E75" s="144">
        <f t="shared" si="1"/>
        <v>35437.5</v>
      </c>
      <c r="F75" s="142">
        <f t="shared" si="2"/>
        <v>373275</v>
      </c>
      <c r="G75" s="61">
        <f t="shared" si="3"/>
        <v>236.25</v>
      </c>
      <c r="H75" s="60">
        <f t="shared" si="4"/>
        <v>54</v>
      </c>
      <c r="I75" s="201">
        <f t="shared" si="5"/>
        <v>71550.851389099029</v>
      </c>
      <c r="J75" s="201">
        <f t="shared" si="6"/>
        <v>23707.182093588148</v>
      </c>
      <c r="K75" s="201">
        <f t="shared" si="7"/>
        <v>95258.033482687184</v>
      </c>
    </row>
    <row r="76" spans="2:11" x14ac:dyDescent="0.25">
      <c r="B76" s="181">
        <v>28</v>
      </c>
      <c r="C76" s="144">
        <f t="shared" si="0"/>
        <v>114084.50704225352</v>
      </c>
      <c r="D76" s="142">
        <f t="shared" si="8"/>
        <v>1240669.014084507</v>
      </c>
      <c r="E76" s="144">
        <f t="shared" si="1"/>
        <v>37800</v>
      </c>
      <c r="F76" s="142">
        <f t="shared" si="2"/>
        <v>411075</v>
      </c>
      <c r="G76" s="61">
        <f t="shared" si="3"/>
        <v>252</v>
      </c>
      <c r="H76" s="60">
        <f t="shared" si="4"/>
        <v>56</v>
      </c>
      <c r="I76" s="201">
        <f t="shared" si="5"/>
        <v>75193.012954061414</v>
      </c>
      <c r="J76" s="201">
        <f t="shared" si="6"/>
        <v>24913.951625445679</v>
      </c>
      <c r="K76" s="201">
        <f t="shared" si="7"/>
        <v>100106.96457950708</v>
      </c>
    </row>
    <row r="77" spans="2:11" x14ac:dyDescent="0.25">
      <c r="B77" s="181">
        <v>29</v>
      </c>
      <c r="C77" s="144">
        <f t="shared" si="0"/>
        <v>121441.14688128771</v>
      </c>
      <c r="D77" s="142">
        <f t="shared" si="8"/>
        <v>1362110.1609657947</v>
      </c>
      <c r="E77" s="144">
        <f t="shared" si="1"/>
        <v>40237.5</v>
      </c>
      <c r="F77" s="142">
        <f t="shared" si="2"/>
        <v>451312.5</v>
      </c>
      <c r="G77" s="61">
        <f t="shared" si="3"/>
        <v>268.25</v>
      </c>
      <c r="H77" s="60">
        <f t="shared" si="4"/>
        <v>58</v>
      </c>
      <c r="I77" s="201">
        <f t="shared" si="5"/>
        <v>78858.885467694781</v>
      </c>
      <c r="J77" s="201">
        <f t="shared" si="6"/>
        <v>26128.577384962871</v>
      </c>
      <c r="K77" s="201">
        <f t="shared" si="7"/>
        <v>104987.46285265766</v>
      </c>
    </row>
    <row r="78" spans="2:11" x14ac:dyDescent="0.25">
      <c r="B78" s="181">
        <v>30</v>
      </c>
      <c r="C78" s="144">
        <f t="shared" si="0"/>
        <v>129024.14486921529</v>
      </c>
      <c r="D78" s="142">
        <f t="shared" si="8"/>
        <v>1491134.30583501</v>
      </c>
      <c r="E78" s="144">
        <f t="shared" si="1"/>
        <v>42750</v>
      </c>
      <c r="F78" s="142">
        <f t="shared" si="2"/>
        <v>494062.5</v>
      </c>
      <c r="G78" s="61">
        <f t="shared" si="3"/>
        <v>285</v>
      </c>
      <c r="H78" s="60">
        <f t="shared" si="4"/>
        <v>60</v>
      </c>
      <c r="I78" s="201">
        <f t="shared" si="5"/>
        <v>82544.800438136328</v>
      </c>
      <c r="J78" s="201">
        <f t="shared" si="6"/>
        <v>27349.843878502503</v>
      </c>
      <c r="K78" s="201">
        <f t="shared" si="7"/>
        <v>109894.64431663883</v>
      </c>
    </row>
    <row r="79" spans="2:11" x14ac:dyDescent="0.25">
      <c r="B79" s="181">
        <v>31</v>
      </c>
      <c r="C79" s="144">
        <f t="shared" si="0"/>
        <v>136833.50100603621</v>
      </c>
      <c r="D79" s="142">
        <f t="shared" si="8"/>
        <v>1627967.8068410463</v>
      </c>
      <c r="E79" s="144">
        <f t="shared" si="1"/>
        <v>45337.5</v>
      </c>
      <c r="F79" s="142">
        <f t="shared" si="2"/>
        <v>539400</v>
      </c>
      <c r="G79" s="61">
        <f t="shared" si="3"/>
        <v>302.25</v>
      </c>
      <c r="H79" s="60">
        <f t="shared" si="4"/>
        <v>62</v>
      </c>
      <c r="I79" s="201">
        <f t="shared" si="5"/>
        <v>86247.22472535375</v>
      </c>
      <c r="J79" s="201">
        <f t="shared" si="6"/>
        <v>28576.580459000543</v>
      </c>
      <c r="K79" s="201">
        <f t="shared" si="7"/>
        <v>114823.80518435429</v>
      </c>
    </row>
    <row r="80" spans="2:11" x14ac:dyDescent="0.25">
      <c r="B80" s="181">
        <v>32</v>
      </c>
      <c r="C80" s="144">
        <f t="shared" si="0"/>
        <v>144869.2152917505</v>
      </c>
      <c r="D80" s="142">
        <f t="shared" si="8"/>
        <v>1772837.0221327967</v>
      </c>
      <c r="E80" s="144">
        <f t="shared" si="1"/>
        <v>48000</v>
      </c>
      <c r="F80" s="142">
        <f t="shared" si="2"/>
        <v>587400</v>
      </c>
      <c r="G80" s="61">
        <f t="shared" si="3"/>
        <v>320</v>
      </c>
      <c r="H80" s="60">
        <f t="shared" si="4"/>
        <v>64</v>
      </c>
      <c r="I80" s="201">
        <f t="shared" si="5"/>
        <v>89962.756867380376</v>
      </c>
      <c r="J80" s="201">
        <f t="shared" si="6"/>
        <v>29807.660108725366</v>
      </c>
      <c r="K80" s="201">
        <f t="shared" si="7"/>
        <v>119770.41697610574</v>
      </c>
    </row>
    <row r="81" spans="2:11" x14ac:dyDescent="0.25">
      <c r="B81" s="181">
        <v>33</v>
      </c>
      <c r="C81" s="144">
        <f t="shared" ref="C81:C112" si="9">IF(((1-$F$38)*$F$37/$C$40)*($C$37*$B81+$C$38*$B81)*(1+$C$38*$B81/(2*$C$39))&gt;((1-$F$38)*$F$37),((1-$F$38)*$F$37),((1-$F$38)*$F$37/$C$40)*($C$37*$B81+$C$38*$B81)*(1+$C$38*$B81/(2*$C$39)))</f>
        <v>153131.28772635816</v>
      </c>
      <c r="D81" s="142">
        <f t="shared" si="8"/>
        <v>1925968.3098591547</v>
      </c>
      <c r="E81" s="144">
        <f t="shared" ref="E81:E112" si="10">IF((($I$40)*($C$37*$B81+$C$38*$B81)*(1+$C$38*$B81/(2*$C$39)))&gt;($I$40*$C$40),($I$40*$C$40),(($I$40)*($C$37*$B81+$C$38*$B81)*(1+$C$38*$B81/(2*$C$39))))</f>
        <v>50737.5</v>
      </c>
      <c r="F81" s="142">
        <f t="shared" ref="F81:F112" si="11">F80+E81</f>
        <v>638137.5</v>
      </c>
      <c r="G81" s="61">
        <f t="shared" ref="G81:G112" si="12">($C$37*$B81+$C$38*$B81)*(1+$C$38*$B81/(2*$C$39))</f>
        <v>338.25</v>
      </c>
      <c r="H81" s="60">
        <f t="shared" ref="H81:H112" si="13">($C$37+$C$38)*$B81</f>
        <v>66</v>
      </c>
      <c r="I81" s="201">
        <f t="shared" si="5"/>
        <v>93688.123492584418</v>
      </c>
      <c r="J81" s="201">
        <f t="shared" si="6"/>
        <v>31041.998250542969</v>
      </c>
      <c r="K81" s="201">
        <f t="shared" si="7"/>
        <v>124730.1217431274</v>
      </c>
    </row>
    <row r="82" spans="2:11" x14ac:dyDescent="0.25">
      <c r="B82" s="181">
        <v>34</v>
      </c>
      <c r="C82" s="144">
        <f t="shared" si="9"/>
        <v>161619.71830985913</v>
      </c>
      <c r="D82" s="142">
        <f t="shared" ref="D82:D113" si="14">D81+C82</f>
        <v>2087588.0281690138</v>
      </c>
      <c r="E82" s="144">
        <f t="shared" si="10"/>
        <v>53550</v>
      </c>
      <c r="F82" s="142">
        <f t="shared" si="11"/>
        <v>691687.5</v>
      </c>
      <c r="G82" s="61">
        <f t="shared" si="12"/>
        <v>357</v>
      </c>
      <c r="H82" s="60">
        <f t="shared" si="13"/>
        <v>68</v>
      </c>
      <c r="I82" s="201">
        <f t="shared" si="5"/>
        <v>97420.175816128758</v>
      </c>
      <c r="J82" s="201">
        <f t="shared" si="6"/>
        <v>32278.551587077334</v>
      </c>
      <c r="K82" s="201">
        <f t="shared" si="7"/>
        <v>129698.7274032061</v>
      </c>
    </row>
    <row r="83" spans="2:11" x14ac:dyDescent="0.25">
      <c r="B83" s="181">
        <v>35</v>
      </c>
      <c r="C83" s="144">
        <f t="shared" si="9"/>
        <v>170334.50704225351</v>
      </c>
      <c r="D83" s="142">
        <f t="shared" si="14"/>
        <v>2257922.5352112674</v>
      </c>
      <c r="E83" s="144">
        <f t="shared" si="10"/>
        <v>56437.5</v>
      </c>
      <c r="F83" s="142">
        <f t="shared" si="11"/>
        <v>748125</v>
      </c>
      <c r="G83" s="61">
        <f t="shared" si="12"/>
        <v>376.25</v>
      </c>
      <c r="H83" s="60">
        <f t="shared" si="13"/>
        <v>70</v>
      </c>
      <c r="I83" s="201">
        <f t="shared" si="5"/>
        <v>101155.88621881428</v>
      </c>
      <c r="J83" s="201">
        <f t="shared" si="6"/>
        <v>33516.316967167135</v>
      </c>
      <c r="K83" s="201">
        <f t="shared" si="7"/>
        <v>134672.20318598143</v>
      </c>
    </row>
    <row r="84" spans="2:11" x14ac:dyDescent="0.25">
      <c r="B84" s="181">
        <v>36</v>
      </c>
      <c r="C84" s="144">
        <f t="shared" si="9"/>
        <v>179275.65392354122</v>
      </c>
      <c r="D84" s="142">
        <f t="shared" si="14"/>
        <v>2437198.1891348087</v>
      </c>
      <c r="E84" s="144">
        <f t="shared" si="10"/>
        <v>59400</v>
      </c>
      <c r="F84" s="142">
        <f t="shared" si="11"/>
        <v>807525</v>
      </c>
      <c r="G84" s="61">
        <f t="shared" si="12"/>
        <v>396</v>
      </c>
      <c r="H84" s="60">
        <f t="shared" si="13"/>
        <v>72</v>
      </c>
      <c r="I84" s="201">
        <f t="shared" si="5"/>
        <v>104892.34490653608</v>
      </c>
      <c r="J84" s="201">
        <f t="shared" si="6"/>
        <v>34754.330279032292</v>
      </c>
      <c r="K84" s="201">
        <f t="shared" si="7"/>
        <v>139646.67518556837</v>
      </c>
    </row>
    <row r="85" spans="2:11" x14ac:dyDescent="0.25">
      <c r="B85" s="181">
        <v>37</v>
      </c>
      <c r="C85" s="144">
        <f t="shared" si="9"/>
        <v>188443.15895372233</v>
      </c>
      <c r="D85" s="142">
        <f t="shared" si="14"/>
        <v>2625641.3480885308</v>
      </c>
      <c r="E85" s="144">
        <f t="shared" si="10"/>
        <v>62437.5</v>
      </c>
      <c r="F85" s="142">
        <f t="shared" si="11"/>
        <v>869962.5</v>
      </c>
      <c r="G85" s="61">
        <f t="shared" si="12"/>
        <v>416.25</v>
      </c>
      <c r="H85" s="60">
        <f t="shared" si="13"/>
        <v>74</v>
      </c>
      <c r="I85" s="201">
        <f t="shared" si="5"/>
        <v>108626.75664861834</v>
      </c>
      <c r="J85" s="201">
        <f t="shared" si="6"/>
        <v>35991.665369575545</v>
      </c>
      <c r="K85" s="201">
        <f t="shared" si="7"/>
        <v>144618.42201819387</v>
      </c>
    </row>
    <row r="86" spans="2:11" x14ac:dyDescent="0.25">
      <c r="B86" s="181">
        <v>38</v>
      </c>
      <c r="C86" s="144">
        <f t="shared" si="9"/>
        <v>197837.02213279676</v>
      </c>
      <c r="D86" s="142">
        <f t="shared" si="14"/>
        <v>2823478.3702213275</v>
      </c>
      <c r="E86" s="144">
        <f t="shared" si="10"/>
        <v>65550</v>
      </c>
      <c r="F86" s="142">
        <f t="shared" si="11"/>
        <v>935512.5</v>
      </c>
      <c r="G86" s="61">
        <f t="shared" si="12"/>
        <v>437</v>
      </c>
      <c r="H86" s="60">
        <f t="shared" si="13"/>
        <v>76</v>
      </c>
      <c r="I86" s="201">
        <f t="shared" si="5"/>
        <v>112356.43759332821</v>
      </c>
      <c r="J86" s="201">
        <f t="shared" si="6"/>
        <v>37227.432989256085</v>
      </c>
      <c r="K86" s="201">
        <f t="shared" si="7"/>
        <v>149583.87058258432</v>
      </c>
    </row>
    <row r="87" spans="2:11" x14ac:dyDescent="0.25">
      <c r="B87" s="181">
        <v>39</v>
      </c>
      <c r="C87" s="144">
        <f t="shared" si="9"/>
        <v>207457.24346076458</v>
      </c>
      <c r="D87" s="142">
        <f t="shared" si="14"/>
        <v>3030935.6136820922</v>
      </c>
      <c r="E87" s="144">
        <f t="shared" si="10"/>
        <v>68737.5</v>
      </c>
      <c r="F87" s="142">
        <f t="shared" si="11"/>
        <v>1004250</v>
      </c>
      <c r="G87" s="61">
        <f t="shared" si="12"/>
        <v>458.25</v>
      </c>
      <c r="H87" s="60">
        <f t="shared" si="13"/>
        <v>78</v>
      </c>
      <c r="I87" s="201">
        <f t="shared" si="5"/>
        <v>116078.81215890402</v>
      </c>
      <c r="J87" s="201">
        <f t="shared" si="6"/>
        <v>38460.779761983533</v>
      </c>
      <c r="K87" s="201">
        <f t="shared" si="7"/>
        <v>154539.59192088756</v>
      </c>
    </row>
    <row r="88" spans="2:11" x14ac:dyDescent="0.25">
      <c r="B88" s="181">
        <v>40</v>
      </c>
      <c r="C88" s="144">
        <f t="shared" si="9"/>
        <v>217303.82293762575</v>
      </c>
      <c r="D88" s="142">
        <f t="shared" si="14"/>
        <v>3248239.4366197181</v>
      </c>
      <c r="E88" s="144">
        <f t="shared" si="10"/>
        <v>72000</v>
      </c>
      <c r="F88" s="142">
        <f t="shared" si="11"/>
        <v>1076250</v>
      </c>
      <c r="G88" s="61">
        <f t="shared" si="12"/>
        <v>480</v>
      </c>
      <c r="H88" s="60">
        <f t="shared" si="13"/>
        <v>80</v>
      </c>
      <c r="I88" s="201">
        <f t="shared" si="5"/>
        <v>119791.40999846585</v>
      </c>
      <c r="J88" s="201">
        <f t="shared" si="6"/>
        <v>39690.887179491685</v>
      </c>
      <c r="K88" s="201">
        <f t="shared" si="7"/>
        <v>159482.29717795755</v>
      </c>
    </row>
    <row r="89" spans="2:11" x14ac:dyDescent="0.25">
      <c r="B89" s="181">
        <v>41</v>
      </c>
      <c r="C89" s="144">
        <f t="shared" si="9"/>
        <v>227376.76056338026</v>
      </c>
      <c r="D89" s="142">
        <f t="shared" si="14"/>
        <v>3475616.1971830982</v>
      </c>
      <c r="E89" s="144">
        <f t="shared" si="10"/>
        <v>75337.5</v>
      </c>
      <c r="F89" s="142">
        <f t="shared" si="11"/>
        <v>1151587.5</v>
      </c>
      <c r="G89" s="61">
        <f t="shared" si="12"/>
        <v>502.25</v>
      </c>
      <c r="H89" s="60">
        <f t="shared" si="13"/>
        <v>82</v>
      </c>
      <c r="I89" s="201">
        <f t="shared" si="5"/>
        <v>123491.86303721157</v>
      </c>
      <c r="J89" s="201">
        <f t="shared" si="6"/>
        <v>40916.970619662774</v>
      </c>
      <c r="K89" s="201">
        <f t="shared" si="7"/>
        <v>164408.83365687434</v>
      </c>
    </row>
    <row r="90" spans="2:11" x14ac:dyDescent="0.25">
      <c r="B90" s="181">
        <v>42</v>
      </c>
      <c r="C90" s="144">
        <f t="shared" si="9"/>
        <v>237676.05633802814</v>
      </c>
      <c r="D90" s="142">
        <f t="shared" si="14"/>
        <v>3713292.2535211262</v>
      </c>
      <c r="E90" s="144">
        <f t="shared" si="10"/>
        <v>78750</v>
      </c>
      <c r="F90" s="142">
        <f t="shared" si="11"/>
        <v>1230337.5</v>
      </c>
      <c r="G90" s="61">
        <f t="shared" si="12"/>
        <v>525</v>
      </c>
      <c r="H90" s="60">
        <f t="shared" si="13"/>
        <v>84</v>
      </c>
      <c r="I90" s="201">
        <f t="shared" si="5"/>
        <v>127177.90258033152</v>
      </c>
      <c r="J90" s="201">
        <f t="shared" si="6"/>
        <v>42138.278388283186</v>
      </c>
      <c r="K90" s="201">
        <f t="shared" si="7"/>
        <v>169316.18096861473</v>
      </c>
    </row>
    <row r="91" spans="2:11" x14ac:dyDescent="0.25">
      <c r="B91" s="181">
        <v>43</v>
      </c>
      <c r="C91" s="144">
        <f t="shared" si="9"/>
        <v>248201.71026156942</v>
      </c>
      <c r="D91" s="142">
        <f t="shared" si="14"/>
        <v>3961493.9637826956</v>
      </c>
      <c r="E91" s="144">
        <f t="shared" si="10"/>
        <v>82237.5</v>
      </c>
      <c r="F91" s="142">
        <f t="shared" si="11"/>
        <v>1312575</v>
      </c>
      <c r="G91" s="61">
        <f t="shared" si="12"/>
        <v>548.25</v>
      </c>
      <c r="H91" s="60">
        <f t="shared" si="13"/>
        <v>86</v>
      </c>
      <c r="I91" s="201">
        <f t="shared" si="5"/>
        <v>130847.35649010888</v>
      </c>
      <c r="J91" s="201">
        <f t="shared" si="6"/>
        <v>43354.090783722742</v>
      </c>
      <c r="K91" s="201">
        <f t="shared" si="7"/>
        <v>174201.44727383164</v>
      </c>
    </row>
    <row r="92" spans="2:11" x14ac:dyDescent="0.25">
      <c r="B92" s="181">
        <v>44</v>
      </c>
      <c r="C92" s="144">
        <f t="shared" si="9"/>
        <v>258953.72233400401</v>
      </c>
      <c r="D92" s="142">
        <f t="shared" si="14"/>
        <v>4220447.6861166991</v>
      </c>
      <c r="E92" s="144">
        <f t="shared" si="10"/>
        <v>85800</v>
      </c>
      <c r="F92" s="142">
        <f t="shared" si="11"/>
        <v>1398375</v>
      </c>
      <c r="G92" s="61">
        <f t="shared" si="12"/>
        <v>572</v>
      </c>
      <c r="H92" s="60">
        <f t="shared" si="13"/>
        <v>88</v>
      </c>
      <c r="I92" s="201">
        <f t="shared" si="5"/>
        <v>134498.14643070279</v>
      </c>
      <c r="J92" s="201">
        <f t="shared" si="6"/>
        <v>44563.719184039532</v>
      </c>
      <c r="K92" s="201">
        <f t="shared" si="7"/>
        <v>179061.86561474233</v>
      </c>
    </row>
    <row r="93" spans="2:11" x14ac:dyDescent="0.25">
      <c r="B93" s="181">
        <v>45</v>
      </c>
      <c r="C93" s="144">
        <f t="shared" si="9"/>
        <v>269932.09255533194</v>
      </c>
      <c r="D93" s="142">
        <f t="shared" si="14"/>
        <v>4490379.7786720311</v>
      </c>
      <c r="E93" s="144">
        <f t="shared" si="10"/>
        <v>89437.5</v>
      </c>
      <c r="F93" s="142">
        <f t="shared" si="11"/>
        <v>1487812.5</v>
      </c>
      <c r="G93" s="61">
        <f t="shared" si="12"/>
        <v>596.25</v>
      </c>
      <c r="H93" s="60">
        <f t="shared" si="13"/>
        <v>90</v>
      </c>
      <c r="I93" s="201">
        <f t="shared" si="5"/>
        <v>138128.28517914246</v>
      </c>
      <c r="J93" s="201">
        <f t="shared" si="6"/>
        <v>45766.505156022547</v>
      </c>
      <c r="K93" s="201">
        <f t="shared" si="7"/>
        <v>183894.79033516502</v>
      </c>
    </row>
    <row r="94" spans="2:11" x14ac:dyDescent="0.25">
      <c r="B94" s="181">
        <v>46</v>
      </c>
      <c r="C94" s="144">
        <f t="shared" si="9"/>
        <v>281136.82092555333</v>
      </c>
      <c r="D94" s="142">
        <f t="shared" si="14"/>
        <v>4771516.5995975845</v>
      </c>
      <c r="E94" s="144">
        <f t="shared" si="10"/>
        <v>93150</v>
      </c>
      <c r="F94" s="142">
        <f t="shared" si="11"/>
        <v>1580962.5</v>
      </c>
      <c r="G94" s="61">
        <f t="shared" si="12"/>
        <v>621</v>
      </c>
      <c r="H94" s="60">
        <f t="shared" si="13"/>
        <v>92</v>
      </c>
      <c r="I94" s="201">
        <f t="shared" si="5"/>
        <v>141735.87400109059</v>
      </c>
      <c r="J94" s="201">
        <f t="shared" si="6"/>
        <v>46961.819585694677</v>
      </c>
      <c r="K94" s="201">
        <f t="shared" si="7"/>
        <v>188697.69358678526</v>
      </c>
    </row>
    <row r="95" spans="2:11" x14ac:dyDescent="0.25">
      <c r="B95" s="181">
        <v>47</v>
      </c>
      <c r="C95" s="144">
        <f t="shared" si="9"/>
        <v>292567.907444668</v>
      </c>
      <c r="D95" s="142">
        <f t="shared" si="14"/>
        <v>5064084.5070422525</v>
      </c>
      <c r="E95" s="144">
        <f t="shared" si="10"/>
        <v>96937.5</v>
      </c>
      <c r="F95" s="142">
        <f t="shared" si="11"/>
        <v>1677900</v>
      </c>
      <c r="G95" s="61">
        <f t="shared" si="12"/>
        <v>646.25</v>
      </c>
      <c r="H95" s="60">
        <f t="shared" si="13"/>
        <v>94</v>
      </c>
      <c r="I95" s="201">
        <f t="shared" si="5"/>
        <v>145319.10008996262</v>
      </c>
      <c r="J95" s="201">
        <f t="shared" si="6"/>
        <v>48149.061829807615</v>
      </c>
      <c r="K95" s="201">
        <f t="shared" si="7"/>
        <v>193468.16191977024</v>
      </c>
    </row>
    <row r="96" spans="2:11" x14ac:dyDescent="0.25">
      <c r="B96" s="181">
        <v>48</v>
      </c>
      <c r="C96" s="144">
        <f t="shared" si="9"/>
        <v>304225.35211267602</v>
      </c>
      <c r="D96" s="142">
        <f t="shared" si="14"/>
        <v>5368309.8591549285</v>
      </c>
      <c r="E96" s="144">
        <f t="shared" si="10"/>
        <v>100800</v>
      </c>
      <c r="F96" s="142">
        <f t="shared" si="11"/>
        <v>1778700</v>
      </c>
      <c r="G96" s="61">
        <f t="shared" si="12"/>
        <v>672</v>
      </c>
      <c r="H96" s="60">
        <f t="shared" si="13"/>
        <v>96</v>
      </c>
      <c r="I96" s="201">
        <f t="shared" si="5"/>
        <v>148876.23406802013</v>
      </c>
      <c r="J96" s="201">
        <f t="shared" si="6"/>
        <v>49327.658887870683</v>
      </c>
      <c r="K96" s="201">
        <f t="shared" si="7"/>
        <v>198203.89295589083</v>
      </c>
    </row>
    <row r="97" spans="2:11" x14ac:dyDescent="0.25">
      <c r="B97" s="181">
        <v>49</v>
      </c>
      <c r="C97" s="144">
        <f t="shared" si="9"/>
        <v>316109.15492957749</v>
      </c>
      <c r="D97" s="142">
        <f t="shared" si="14"/>
        <v>5684419.0140845058</v>
      </c>
      <c r="E97" s="144">
        <f t="shared" si="10"/>
        <v>104737.5</v>
      </c>
      <c r="F97" s="142">
        <f t="shared" si="11"/>
        <v>1883437.5</v>
      </c>
      <c r="G97" s="61">
        <f t="shared" si="12"/>
        <v>698.25</v>
      </c>
      <c r="H97" s="60">
        <f t="shared" si="13"/>
        <v>98</v>
      </c>
      <c r="I97" s="201">
        <f t="shared" si="5"/>
        <v>152405.62754808104</v>
      </c>
      <c r="J97" s="201">
        <f t="shared" si="6"/>
        <v>50497.064594264179</v>
      </c>
      <c r="K97" s="201">
        <f t="shared" si="7"/>
        <v>202902.69214234521</v>
      </c>
    </row>
    <row r="98" spans="2:11" x14ac:dyDescent="0.25">
      <c r="B98" s="181">
        <v>50</v>
      </c>
      <c r="C98" s="144">
        <f t="shared" si="9"/>
        <v>328219.31589537224</v>
      </c>
      <c r="D98" s="142">
        <f t="shared" si="14"/>
        <v>6012638.3299798779</v>
      </c>
      <c r="E98" s="144">
        <f t="shared" si="10"/>
        <v>108750</v>
      </c>
      <c r="F98" s="142">
        <f t="shared" si="11"/>
        <v>1992187.5</v>
      </c>
      <c r="G98" s="61">
        <f t="shared" si="12"/>
        <v>725</v>
      </c>
      <c r="H98" s="60">
        <f t="shared" si="13"/>
        <v>100</v>
      </c>
      <c r="I98" s="201">
        <f t="shared" si="5"/>
        <v>155905.71075452</v>
      </c>
      <c r="J98" s="201">
        <f t="shared" si="6"/>
        <v>51656.75882999762</v>
      </c>
      <c r="K98" s="201">
        <f t="shared" si="7"/>
        <v>207562.46958451762</v>
      </c>
    </row>
    <row r="99" spans="2:11" x14ac:dyDescent="0.25">
      <c r="B99" s="181">
        <v>51</v>
      </c>
      <c r="C99" s="144">
        <f t="shared" si="9"/>
        <v>340555.83501006034</v>
      </c>
      <c r="D99" s="142">
        <f t="shared" si="14"/>
        <v>6353194.164989938</v>
      </c>
      <c r="E99" s="144">
        <f t="shared" si="10"/>
        <v>112837.5</v>
      </c>
      <c r="F99" s="142">
        <f t="shared" si="11"/>
        <v>2105025</v>
      </c>
      <c r="G99" s="61">
        <f t="shared" si="12"/>
        <v>752.25</v>
      </c>
      <c r="H99" s="60">
        <f t="shared" si="13"/>
        <v>102</v>
      </c>
      <c r="I99" s="201">
        <f t="shared" si="5"/>
        <v>159374.99020225945</v>
      </c>
      <c r="J99" s="201">
        <f t="shared" si="6"/>
        <v>52806.24675368196</v>
      </c>
      <c r="K99" s="201">
        <f t="shared" si="7"/>
        <v>212181.23695594139</v>
      </c>
    </row>
    <row r="100" spans="2:11" x14ac:dyDescent="0.25">
      <c r="B100" s="181">
        <v>52</v>
      </c>
      <c r="C100" s="144">
        <f t="shared" si="9"/>
        <v>353118.71227364184</v>
      </c>
      <c r="D100" s="142">
        <f t="shared" si="14"/>
        <v>6706312.8772635795</v>
      </c>
      <c r="E100" s="144">
        <f t="shared" si="10"/>
        <v>117000</v>
      </c>
      <c r="F100" s="142">
        <f t="shared" si="11"/>
        <v>2222025</v>
      </c>
      <c r="G100" s="61">
        <f t="shared" si="12"/>
        <v>780</v>
      </c>
      <c r="H100" s="60">
        <f t="shared" si="13"/>
        <v>104</v>
      </c>
      <c r="I100" s="201">
        <f t="shared" si="5"/>
        <v>162812.04643247585</v>
      </c>
      <c r="J100" s="201">
        <f t="shared" si="6"/>
        <v>53945.058051293665</v>
      </c>
      <c r="K100" s="201">
        <f t="shared" si="7"/>
        <v>216757.10448376951</v>
      </c>
    </row>
    <row r="101" spans="2:11" x14ac:dyDescent="0.25">
      <c r="B101" s="181">
        <v>53</v>
      </c>
      <c r="C101" s="144">
        <f t="shared" si="9"/>
        <v>365907.94768611668</v>
      </c>
      <c r="D101" s="142">
        <f t="shared" si="14"/>
        <v>7072220.8249496967</v>
      </c>
      <c r="E101" s="144">
        <f t="shared" si="10"/>
        <v>121237.5</v>
      </c>
      <c r="F101" s="142">
        <f t="shared" si="11"/>
        <v>2343262.5</v>
      </c>
      <c r="G101" s="61">
        <f t="shared" si="12"/>
        <v>808.25</v>
      </c>
      <c r="H101" s="60">
        <f t="shared" si="13"/>
        <v>106</v>
      </c>
      <c r="I101" s="201">
        <f t="shared" si="5"/>
        <v>166215.53180377494</v>
      </c>
      <c r="J101" s="201">
        <f t="shared" si="6"/>
        <v>55072.746204317431</v>
      </c>
      <c r="K101" s="201">
        <f t="shared" si="7"/>
        <v>221288.27800809237</v>
      </c>
    </row>
    <row r="102" spans="2:11" x14ac:dyDescent="0.25">
      <c r="B102" s="181">
        <v>54</v>
      </c>
      <c r="C102" s="144">
        <f t="shared" si="9"/>
        <v>378923.54124748491</v>
      </c>
      <c r="D102" s="142">
        <f t="shared" si="14"/>
        <v>7451144.3661971819</v>
      </c>
      <c r="E102" s="144">
        <f t="shared" si="10"/>
        <v>125550</v>
      </c>
      <c r="F102" s="142">
        <f t="shared" si="11"/>
        <v>2468812.5</v>
      </c>
      <c r="G102" s="61">
        <f t="shared" si="12"/>
        <v>837</v>
      </c>
      <c r="H102" s="60">
        <f t="shared" si="13"/>
        <v>108</v>
      </c>
      <c r="I102" s="201">
        <f t="shared" si="5"/>
        <v>169584.16833761401</v>
      </c>
      <c r="J102" s="201">
        <f t="shared" si="6"/>
        <v>56188.887775862771</v>
      </c>
      <c r="K102" s="201">
        <f t="shared" si="7"/>
        <v>225773.05611347678</v>
      </c>
    </row>
    <row r="103" spans="2:11" x14ac:dyDescent="0.25">
      <c r="B103" s="181">
        <v>55</v>
      </c>
      <c r="C103" s="144">
        <f t="shared" si="9"/>
        <v>392165.49295774644</v>
      </c>
      <c r="D103" s="142">
        <f t="shared" si="14"/>
        <v>7843309.8591549285</v>
      </c>
      <c r="E103" s="144">
        <f t="shared" si="10"/>
        <v>129937.5</v>
      </c>
      <c r="F103" s="142">
        <f t="shared" si="11"/>
        <v>2598750</v>
      </c>
      <c r="G103" s="61">
        <f t="shared" si="12"/>
        <v>866.25</v>
      </c>
      <c r="H103" s="60">
        <f t="shared" si="13"/>
        <v>110</v>
      </c>
      <c r="I103" s="201">
        <f t="shared" si="5"/>
        <v>172916.74561677361</v>
      </c>
      <c r="J103" s="201">
        <f t="shared" si="6"/>
        <v>57293.081714357664</v>
      </c>
      <c r="K103" s="201">
        <f t="shared" si="7"/>
        <v>230209.8273311313</v>
      </c>
    </row>
    <row r="104" spans="2:11" x14ac:dyDescent="0.25">
      <c r="B104" s="181">
        <v>56</v>
      </c>
      <c r="C104" s="144">
        <f t="shared" si="9"/>
        <v>405633.80281690141</v>
      </c>
      <c r="D104" s="142">
        <f t="shared" si="14"/>
        <v>8248943.6619718298</v>
      </c>
      <c r="E104" s="144">
        <f t="shared" si="10"/>
        <v>134400</v>
      </c>
      <c r="F104" s="142">
        <f t="shared" si="11"/>
        <v>2733150</v>
      </c>
      <c r="G104" s="61">
        <f t="shared" si="12"/>
        <v>896</v>
      </c>
      <c r="H104" s="60">
        <f t="shared" si="13"/>
        <v>112</v>
      </c>
      <c r="I104" s="201">
        <f t="shared" si="5"/>
        <v>176212.11873570803</v>
      </c>
      <c r="J104" s="201">
        <f t="shared" si="6"/>
        <v>58384.948674431267</v>
      </c>
      <c r="K104" s="201">
        <f t="shared" si="7"/>
        <v>234597.06741013928</v>
      </c>
    </row>
    <row r="105" spans="2:11" x14ac:dyDescent="0.25">
      <c r="B105" s="181">
        <v>57</v>
      </c>
      <c r="C105" s="144">
        <f t="shared" si="9"/>
        <v>419328.47082494968</v>
      </c>
      <c r="D105" s="142">
        <f t="shared" si="14"/>
        <v>8668272.1327967793</v>
      </c>
      <c r="E105" s="144">
        <f t="shared" si="10"/>
        <v>138937.5</v>
      </c>
      <c r="F105" s="142">
        <f t="shared" si="11"/>
        <v>2872087.5</v>
      </c>
      <c r="G105" s="61">
        <f t="shared" si="12"/>
        <v>926.25</v>
      </c>
      <c r="H105" s="60">
        <f t="shared" si="13"/>
        <v>114</v>
      </c>
      <c r="I105" s="201">
        <f t="shared" si="5"/>
        <v>179469.20630162471</v>
      </c>
      <c r="J105" s="201">
        <f t="shared" si="6"/>
        <v>59464.130354604997</v>
      </c>
      <c r="K105" s="201">
        <f t="shared" si="7"/>
        <v>238933.33665622972</v>
      </c>
    </row>
    <row r="106" spans="2:11" x14ac:dyDescent="0.25">
      <c r="B106" s="181">
        <v>58</v>
      </c>
      <c r="C106" s="144">
        <f t="shared" si="9"/>
        <v>433249.49698189134</v>
      </c>
      <c r="D106" s="142">
        <f t="shared" si="14"/>
        <v>9101521.6297786701</v>
      </c>
      <c r="E106" s="144">
        <f t="shared" si="10"/>
        <v>143550</v>
      </c>
      <c r="F106" s="142">
        <f t="shared" si="11"/>
        <v>3015637.5</v>
      </c>
      <c r="G106" s="61">
        <f t="shared" si="12"/>
        <v>957</v>
      </c>
      <c r="H106" s="60">
        <f t="shared" si="13"/>
        <v>116</v>
      </c>
      <c r="I106" s="201">
        <f t="shared" si="5"/>
        <v>182686.98848517038</v>
      </c>
      <c r="J106" s="201">
        <f t="shared" si="6"/>
        <v>60530.288851419784</v>
      </c>
      <c r="K106" s="201">
        <f t="shared" si="7"/>
        <v>243217.27733659017</v>
      </c>
    </row>
    <row r="107" spans="2:11" x14ac:dyDescent="0.25">
      <c r="B107" s="181">
        <v>59</v>
      </c>
      <c r="C107" s="144">
        <f t="shared" si="9"/>
        <v>447396.88128772634</v>
      </c>
      <c r="D107" s="142">
        <f t="shared" si="14"/>
        <v>9548918.5110663958</v>
      </c>
      <c r="E107" s="144">
        <f t="shared" si="10"/>
        <v>148237.5</v>
      </c>
      <c r="F107" s="142">
        <f t="shared" si="11"/>
        <v>3163875</v>
      </c>
      <c r="G107" s="61">
        <f t="shared" si="12"/>
        <v>988.25</v>
      </c>
      <c r="H107" s="60">
        <f t="shared" si="13"/>
        <v>118</v>
      </c>
      <c r="I107" s="201">
        <f t="shared" si="5"/>
        <v>185864.50511962117</v>
      </c>
      <c r="J107" s="201">
        <f t="shared" si="6"/>
        <v>61583.106029634488</v>
      </c>
      <c r="K107" s="201">
        <f t="shared" si="7"/>
        <v>247447.61114925565</v>
      </c>
    </row>
    <row r="108" spans="2:11" x14ac:dyDescent="0.25">
      <c r="B108" s="181">
        <v>60</v>
      </c>
      <c r="C108" s="144">
        <f t="shared" si="9"/>
        <v>461770.62374245474</v>
      </c>
      <c r="D108" s="142">
        <f t="shared" si="14"/>
        <v>10010689.134808851</v>
      </c>
      <c r="E108" s="144">
        <f t="shared" si="10"/>
        <v>153000</v>
      </c>
      <c r="F108" s="142">
        <f t="shared" si="11"/>
        <v>3316875</v>
      </c>
      <c r="G108" s="61">
        <f t="shared" si="12"/>
        <v>1020</v>
      </c>
      <c r="H108" s="60">
        <f t="shared" si="13"/>
        <v>120</v>
      </c>
      <c r="I108" s="201">
        <f t="shared" si="5"/>
        <v>189000.85384749994</v>
      </c>
      <c r="J108" s="201">
        <f t="shared" si="6"/>
        <v>62622.282908138302</v>
      </c>
      <c r="K108" s="201">
        <f t="shared" si="7"/>
        <v>251623.1367556382</v>
      </c>
    </row>
    <row r="109" spans="2:11" x14ac:dyDescent="0.25">
      <c r="B109" s="181">
        <v>61</v>
      </c>
      <c r="C109" s="144">
        <f t="shared" si="9"/>
        <v>476370.72434607643</v>
      </c>
      <c r="D109" s="142">
        <f t="shared" si="14"/>
        <v>10487059.859154928</v>
      </c>
      <c r="E109" s="144">
        <f t="shared" si="10"/>
        <v>157837.5</v>
      </c>
      <c r="F109" s="142">
        <f t="shared" si="11"/>
        <v>3474712.5</v>
      </c>
      <c r="G109" s="61">
        <f t="shared" si="12"/>
        <v>1052.25</v>
      </c>
      <c r="H109" s="60">
        <f t="shared" si="13"/>
        <v>122</v>
      </c>
      <c r="I109" s="201">
        <f t="shared" si="5"/>
        <v>192095.18831356298</v>
      </c>
      <c r="J109" s="201">
        <f t="shared" si="6"/>
        <v>63647.539061227202</v>
      </c>
      <c r="K109" s="201">
        <f t="shared" si="7"/>
        <v>255742.72737479018</v>
      </c>
    </row>
    <row r="110" spans="2:11" x14ac:dyDescent="0.25">
      <c r="B110" s="181">
        <v>62</v>
      </c>
      <c r="C110" s="144">
        <f t="shared" si="9"/>
        <v>491197.18309859151</v>
      </c>
      <c r="D110" s="142">
        <f t="shared" si="14"/>
        <v>10978257.04225352</v>
      </c>
      <c r="E110" s="144">
        <f t="shared" si="10"/>
        <v>162750</v>
      </c>
      <c r="F110" s="142">
        <f t="shared" si="11"/>
        <v>3637462.5</v>
      </c>
      <c r="G110" s="61">
        <f t="shared" si="12"/>
        <v>1085</v>
      </c>
      <c r="H110" s="60">
        <f t="shared" si="13"/>
        <v>124</v>
      </c>
      <c r="I110" s="201">
        <f t="shared" si="5"/>
        <v>195146.7164031248</v>
      </c>
      <c r="J110" s="201">
        <f t="shared" si="6"/>
        <v>64658.61203490202</v>
      </c>
      <c r="K110" s="201">
        <f t="shared" si="7"/>
        <v>259805.32843802683</v>
      </c>
    </row>
    <row r="111" spans="2:11" x14ac:dyDescent="0.25">
      <c r="B111" s="181">
        <v>63</v>
      </c>
      <c r="C111" s="144">
        <f t="shared" si="9"/>
        <v>506250</v>
      </c>
      <c r="D111" s="142">
        <f t="shared" si="14"/>
        <v>11484507.04225352</v>
      </c>
      <c r="E111" s="144">
        <f t="shared" si="10"/>
        <v>167737.5</v>
      </c>
      <c r="F111" s="142">
        <f t="shared" si="11"/>
        <v>3805200</v>
      </c>
      <c r="G111" s="61">
        <f t="shared" si="12"/>
        <v>1118.25</v>
      </c>
      <c r="H111" s="60">
        <f t="shared" si="13"/>
        <v>126</v>
      </c>
      <c r="I111" s="201">
        <f t="shared" si="5"/>
        <v>198154.69852470487</v>
      </c>
      <c r="J111" s="201">
        <f t="shared" si="6"/>
        <v>65655.256777852206</v>
      </c>
      <c r="K111" s="201">
        <f t="shared" si="7"/>
        <v>263809.95530255709</v>
      </c>
    </row>
    <row r="112" spans="2:11" x14ac:dyDescent="0.25">
      <c r="B112" s="181">
        <v>64</v>
      </c>
      <c r="C112" s="144">
        <f t="shared" si="9"/>
        <v>521529.17505030177</v>
      </c>
      <c r="D112" s="142">
        <f t="shared" si="14"/>
        <v>12006036.217303822</v>
      </c>
      <c r="E112" s="144">
        <f t="shared" si="10"/>
        <v>172800</v>
      </c>
      <c r="F112" s="142">
        <f t="shared" si="11"/>
        <v>3978000</v>
      </c>
      <c r="G112" s="61">
        <f t="shared" si="12"/>
        <v>1152</v>
      </c>
      <c r="H112" s="60">
        <f t="shared" si="13"/>
        <v>128</v>
      </c>
      <c r="I112" s="201">
        <f t="shared" si="5"/>
        <v>201118.44593600795</v>
      </c>
      <c r="J112" s="201">
        <f t="shared" si="6"/>
        <v>66637.245086797309</v>
      </c>
      <c r="K112" s="201">
        <f t="shared" si="7"/>
        <v>267755.69102280523</v>
      </c>
    </row>
    <row r="113" spans="2:11" x14ac:dyDescent="0.25">
      <c r="B113" s="181">
        <v>65</v>
      </c>
      <c r="C113" s="144">
        <f t="shared" ref="C113:C148" si="15">IF(((1-$F$38)*$F$37/$C$40)*($C$37*$B113+$C$38*$B113)*(1+$C$38*$B113/(2*$C$39))&gt;((1-$F$38)*$F$37),((1-$F$38)*$F$37),((1-$F$38)*$F$37/$C$40)*($C$37*$B113+$C$38*$B113)*(1+$C$38*$B113/(2*$C$39)))</f>
        <v>537034.70824949699</v>
      </c>
      <c r="D113" s="142">
        <f t="shared" si="14"/>
        <v>12543070.925553318</v>
      </c>
      <c r="E113" s="144">
        <f t="shared" ref="E113:E148" si="16">IF((($I$40)*($C$37*$B113+$C$38*$B113)*(1+$C$38*$B113/(2*$C$39)))&gt;($I$40*$C$40),($I$40*$C$40),(($I$40)*($C$37*$B113+$C$38*$B113)*(1+$C$38*$B113/(2*$C$39))))</f>
        <v>177937.5</v>
      </c>
      <c r="F113" s="142">
        <f t="shared" ref="F113:F144" si="17">F112+E113</f>
        <v>4155937.5</v>
      </c>
      <c r="G113" s="61">
        <f t="shared" ref="G113:G148" si="18">($C$37*$B113+$C$38*$B113)*(1+$C$38*$B113/(2*$C$39))</f>
        <v>1186.25</v>
      </c>
      <c r="H113" s="60">
        <f t="shared" ref="H113:H148" si="19">($C$37+$C$38)*$B113</f>
        <v>130</v>
      </c>
      <c r="I113" s="201">
        <f t="shared" ref="I113:I148" si="20">C113/((1+$L$37)^B113)</f>
        <v>204037.31911226522</v>
      </c>
      <c r="J113" s="201">
        <f t="shared" ref="J113:J146" si="21">E113/((1+$L$37)^B113)</f>
        <v>67604.36506586388</v>
      </c>
      <c r="K113" s="201">
        <f t="shared" ref="K113:K146" si="22">(C113+E113)/((1+$L$37)^B113)</f>
        <v>271641.68417812907</v>
      </c>
    </row>
    <row r="114" spans="2:11" x14ac:dyDescent="0.25">
      <c r="B114" s="181">
        <v>66</v>
      </c>
      <c r="C114" s="144">
        <f t="shared" si="15"/>
        <v>552766.5995975855</v>
      </c>
      <c r="D114" s="142">
        <f t="shared" ref="D114:D145" si="23">D113+C114</f>
        <v>13095837.525150904</v>
      </c>
      <c r="E114" s="144">
        <f t="shared" si="16"/>
        <v>183150</v>
      </c>
      <c r="F114" s="142">
        <f t="shared" si="17"/>
        <v>4339087.5</v>
      </c>
      <c r="G114" s="61">
        <f t="shared" si="18"/>
        <v>1221</v>
      </c>
      <c r="H114" s="60">
        <f t="shared" si="19"/>
        <v>132</v>
      </c>
      <c r="I114" s="201">
        <f t="shared" si="20"/>
        <v>206910.7261559855</v>
      </c>
      <c r="J114" s="201">
        <f t="shared" si="21"/>
        <v>68556.420599683202</v>
      </c>
      <c r="K114" s="201">
        <f t="shared" si="22"/>
        <v>275467.14675566868</v>
      </c>
    </row>
    <row r="115" spans="2:11" x14ac:dyDescent="0.25">
      <c r="B115" s="181">
        <v>67</v>
      </c>
      <c r="C115" s="144">
        <f t="shared" si="15"/>
        <v>568724.84909456735</v>
      </c>
      <c r="D115" s="142">
        <f t="shared" si="23"/>
        <v>13664562.374245472</v>
      </c>
      <c r="E115" s="144">
        <f t="shared" si="16"/>
        <v>188437.5</v>
      </c>
      <c r="F115" s="142">
        <f t="shared" si="17"/>
        <v>4527525</v>
      </c>
      <c r="G115" s="61">
        <f t="shared" si="18"/>
        <v>1256.25</v>
      </c>
      <c r="H115" s="60">
        <f t="shared" si="19"/>
        <v>134</v>
      </c>
      <c r="I115" s="201">
        <f t="shared" si="20"/>
        <v>209738.12124718638</v>
      </c>
      <c r="J115" s="201">
        <f t="shared" si="21"/>
        <v>69493.230839901094</v>
      </c>
      <c r="K115" s="201">
        <f t="shared" si="22"/>
        <v>279231.35208708746</v>
      </c>
    </row>
    <row r="116" spans="2:11" x14ac:dyDescent="0.25">
      <c r="B116" s="181">
        <v>68</v>
      </c>
      <c r="C116" s="144">
        <f t="shared" si="15"/>
        <v>584909.45674044266</v>
      </c>
      <c r="D116" s="142">
        <f t="shared" si="23"/>
        <v>14249471.830985915</v>
      </c>
      <c r="E116" s="144">
        <f t="shared" si="16"/>
        <v>193800</v>
      </c>
      <c r="F116" s="142">
        <f t="shared" si="17"/>
        <v>4721325</v>
      </c>
      <c r="G116" s="61">
        <f t="shared" si="18"/>
        <v>1292</v>
      </c>
      <c r="H116" s="60">
        <f t="shared" si="19"/>
        <v>136</v>
      </c>
      <c r="I116" s="201">
        <f t="shared" si="20"/>
        <v>212519.00313319307</v>
      </c>
      <c r="J116" s="201">
        <f t="shared" si="21"/>
        <v>70414.629704797961</v>
      </c>
      <c r="K116" s="201">
        <f t="shared" si="22"/>
        <v>282933.63283799106</v>
      </c>
    </row>
    <row r="117" spans="2:11" x14ac:dyDescent="0.25">
      <c r="B117" s="181">
        <v>69</v>
      </c>
      <c r="C117" s="144">
        <f t="shared" si="15"/>
        <v>601320.4225352112</v>
      </c>
      <c r="D117" s="142">
        <f t="shared" si="23"/>
        <v>14850792.253521126</v>
      </c>
      <c r="E117" s="144">
        <f t="shared" si="16"/>
        <v>199237.5</v>
      </c>
      <c r="F117" s="142">
        <f t="shared" si="17"/>
        <v>4920562.5</v>
      </c>
      <c r="G117" s="61">
        <f t="shared" si="18"/>
        <v>1328.25</v>
      </c>
      <c r="H117" s="60">
        <f t="shared" si="19"/>
        <v>138</v>
      </c>
      <c r="I117" s="201">
        <f t="shared" si="20"/>
        <v>215252.91365711211</v>
      </c>
      <c r="J117" s="201">
        <f t="shared" si="21"/>
        <v>71320.465391723148</v>
      </c>
      <c r="K117" s="201">
        <f t="shared" si="22"/>
        <v>286573.37904883525</v>
      </c>
    </row>
    <row r="118" spans="2:11" x14ac:dyDescent="0.25">
      <c r="B118" s="181">
        <v>70</v>
      </c>
      <c r="C118" s="144">
        <f t="shared" si="15"/>
        <v>617957.74647887319</v>
      </c>
      <c r="D118" s="142">
        <f t="shared" si="23"/>
        <v>15468749.999999998</v>
      </c>
      <c r="E118" s="144">
        <f t="shared" si="16"/>
        <v>204750</v>
      </c>
      <c r="F118" s="142">
        <f t="shared" si="17"/>
        <v>5125312.5</v>
      </c>
      <c r="G118" s="61">
        <f t="shared" si="18"/>
        <v>1365</v>
      </c>
      <c r="H118" s="60">
        <f t="shared" si="19"/>
        <v>140</v>
      </c>
      <c r="I118" s="201">
        <f t="shared" si="20"/>
        <v>217939.4363241074</v>
      </c>
      <c r="J118" s="201">
        <f t="shared" si="21"/>
        <v>72210.599902054251</v>
      </c>
      <c r="K118" s="201">
        <f t="shared" si="22"/>
        <v>290150.03622616164</v>
      </c>
    </row>
    <row r="119" spans="2:11" x14ac:dyDescent="0.25">
      <c r="B119" s="181">
        <v>71</v>
      </c>
      <c r="C119" s="144">
        <f t="shared" si="15"/>
        <v>634821.42857142852</v>
      </c>
      <c r="D119" s="142">
        <f t="shared" si="23"/>
        <v>16103571.428571427</v>
      </c>
      <c r="E119" s="144">
        <f t="shared" si="16"/>
        <v>210337.5</v>
      </c>
      <c r="F119" s="142">
        <f t="shared" si="17"/>
        <v>5335650</v>
      </c>
      <c r="G119" s="61">
        <f t="shared" si="18"/>
        <v>1402.25</v>
      </c>
      <c r="H119" s="60">
        <f t="shared" si="19"/>
        <v>142</v>
      </c>
      <c r="I119" s="201">
        <f t="shared" si="20"/>
        <v>220578.1949046209</v>
      </c>
      <c r="J119" s="201">
        <f t="shared" si="21"/>
        <v>73084.908578397735</v>
      </c>
      <c r="K119" s="201">
        <f t="shared" si="22"/>
        <v>293663.10348301864</v>
      </c>
    </row>
    <row r="120" spans="2:11" x14ac:dyDescent="0.25">
      <c r="B120" s="181">
        <v>72</v>
      </c>
      <c r="C120" s="144">
        <f t="shared" si="15"/>
        <v>651911.4688128772</v>
      </c>
      <c r="D120" s="142">
        <f t="shared" si="23"/>
        <v>16755482.897384305</v>
      </c>
      <c r="E120" s="144">
        <f t="shared" si="16"/>
        <v>216000</v>
      </c>
      <c r="F120" s="142">
        <f t="shared" si="17"/>
        <v>5551650</v>
      </c>
      <c r="G120" s="61">
        <f t="shared" si="18"/>
        <v>1440</v>
      </c>
      <c r="H120" s="60">
        <f t="shared" si="19"/>
        <v>144</v>
      </c>
      <c r="I120" s="201">
        <f t="shared" si="20"/>
        <v>223168.8520737022</v>
      </c>
      <c r="J120" s="201">
        <f t="shared" si="21"/>
        <v>73943.279653753343</v>
      </c>
      <c r="K120" s="201">
        <f t="shared" si="22"/>
        <v>297112.13172745553</v>
      </c>
    </row>
    <row r="121" spans="2:11" x14ac:dyDescent="0.25">
      <c r="B121" s="181">
        <v>73</v>
      </c>
      <c r="C121" s="144">
        <f t="shared" si="15"/>
        <v>669227.86720321933</v>
      </c>
      <c r="D121" s="142">
        <f t="shared" si="23"/>
        <v>17424710.764587525</v>
      </c>
      <c r="E121" s="144">
        <f t="shared" si="16"/>
        <v>221737.5</v>
      </c>
      <c r="F121" s="142">
        <f t="shared" si="17"/>
        <v>5773387.5</v>
      </c>
      <c r="G121" s="61">
        <f t="shared" si="18"/>
        <v>1478.25</v>
      </c>
      <c r="H121" s="60">
        <f t="shared" si="19"/>
        <v>146</v>
      </c>
      <c r="I121" s="201">
        <f t="shared" si="20"/>
        <v>225711.10808562557</v>
      </c>
      <c r="J121" s="201">
        <f t="shared" si="21"/>
        <v>74785.613812370604</v>
      </c>
      <c r="K121" s="201">
        <f t="shared" si="22"/>
        <v>300496.72189799615</v>
      </c>
    </row>
    <row r="122" spans="2:11" x14ac:dyDescent="0.25">
      <c r="B122" s="181">
        <v>74</v>
      </c>
      <c r="C122" s="144">
        <f t="shared" si="15"/>
        <v>686770.62374245469</v>
      </c>
      <c r="D122" s="142">
        <f t="shared" si="23"/>
        <v>18111481.388329979</v>
      </c>
      <c r="E122" s="144">
        <f t="shared" si="16"/>
        <v>227550</v>
      </c>
      <c r="F122" s="142">
        <f t="shared" si="17"/>
        <v>6000937.5</v>
      </c>
      <c r="G122" s="61">
        <f t="shared" si="18"/>
        <v>1517</v>
      </c>
      <c r="H122" s="60">
        <f t="shared" si="19"/>
        <v>148</v>
      </c>
      <c r="I122" s="201">
        <f t="shared" si="20"/>
        <v>228204.69948299206</v>
      </c>
      <c r="J122" s="201">
        <f t="shared" si="21"/>
        <v>75611.823762031374</v>
      </c>
      <c r="K122" s="201">
        <f t="shared" si="22"/>
        <v>303816.52324502345</v>
      </c>
    </row>
    <row r="123" spans="2:11" x14ac:dyDescent="0.25">
      <c r="B123" s="181">
        <v>75</v>
      </c>
      <c r="C123" s="144">
        <f t="shared" si="15"/>
        <v>704539.7384305835</v>
      </c>
      <c r="D123" s="142">
        <f t="shared" si="23"/>
        <v>18816021.126760561</v>
      </c>
      <c r="E123" s="144">
        <f t="shared" si="16"/>
        <v>233437.5</v>
      </c>
      <c r="F123" s="142">
        <f t="shared" si="17"/>
        <v>6234375</v>
      </c>
      <c r="G123" s="61">
        <f t="shared" si="18"/>
        <v>1556.25</v>
      </c>
      <c r="H123" s="60">
        <f t="shared" si="19"/>
        <v>150</v>
      </c>
      <c r="I123" s="201">
        <f t="shared" si="20"/>
        <v>230649.3978395306</v>
      </c>
      <c r="J123" s="201">
        <f t="shared" si="21"/>
        <v>76421.833817497813</v>
      </c>
      <c r="K123" s="201">
        <f t="shared" si="22"/>
        <v>307071.23165702843</v>
      </c>
    </row>
    <row r="124" spans="2:11" x14ac:dyDescent="0.25">
      <c r="B124" s="181">
        <v>76</v>
      </c>
      <c r="C124" s="144">
        <f t="shared" si="15"/>
        <v>722535.21126760554</v>
      </c>
      <c r="D124" s="142">
        <f t="shared" si="23"/>
        <v>19538556.338028166</v>
      </c>
      <c r="E124" s="144">
        <f t="shared" si="16"/>
        <v>239400</v>
      </c>
      <c r="F124" s="142">
        <f t="shared" si="17"/>
        <v>6473775</v>
      </c>
      <c r="G124" s="61">
        <f t="shared" si="18"/>
        <v>1596</v>
      </c>
      <c r="H124" s="60">
        <f t="shared" si="19"/>
        <v>152</v>
      </c>
      <c r="I124" s="201">
        <f t="shared" si="20"/>
        <v>233045.00853582824</v>
      </c>
      <c r="J124" s="201">
        <f t="shared" si="21"/>
        <v>77215.579494871097</v>
      </c>
      <c r="K124" s="201">
        <f t="shared" si="22"/>
        <v>310260.58803069935</v>
      </c>
    </row>
    <row r="125" spans="2:11" x14ac:dyDescent="0.25">
      <c r="B125" s="181">
        <v>77</v>
      </c>
      <c r="C125" s="144">
        <f t="shared" si="15"/>
        <v>740757.04225352104</v>
      </c>
      <c r="D125" s="142">
        <f t="shared" si="23"/>
        <v>20279313.380281687</v>
      </c>
      <c r="E125" s="144">
        <f t="shared" si="16"/>
        <v>245437.5</v>
      </c>
      <c r="F125" s="142">
        <f t="shared" si="17"/>
        <v>6719212.5</v>
      </c>
      <c r="G125" s="61">
        <f t="shared" si="18"/>
        <v>1636.25</v>
      </c>
      <c r="H125" s="60">
        <f t="shared" si="19"/>
        <v>154</v>
      </c>
      <c r="I125" s="201">
        <f t="shared" si="20"/>
        <v>235391.3695672364</v>
      </c>
      <c r="J125" s="201">
        <f t="shared" si="21"/>
        <v>77993.007116610999</v>
      </c>
      <c r="K125" s="201">
        <f t="shared" si="22"/>
        <v>313384.3766838474</v>
      </c>
    </row>
    <row r="126" spans="2:11" x14ac:dyDescent="0.25">
      <c r="B126" s="181">
        <v>78</v>
      </c>
      <c r="C126" s="144">
        <f t="shared" si="15"/>
        <v>759205.23138832999</v>
      </c>
      <c r="D126" s="142">
        <f t="shared" si="23"/>
        <v>21038518.611670017</v>
      </c>
      <c r="E126" s="144">
        <f t="shared" si="16"/>
        <v>251550</v>
      </c>
      <c r="F126" s="142">
        <f t="shared" si="17"/>
        <v>6970762.5</v>
      </c>
      <c r="G126" s="61">
        <f t="shared" si="18"/>
        <v>1677</v>
      </c>
      <c r="H126" s="60">
        <f t="shared" si="19"/>
        <v>156</v>
      </c>
      <c r="I126" s="201">
        <f t="shared" si="20"/>
        <v>237688.3503832162</v>
      </c>
      <c r="J126" s="201">
        <f t="shared" si="21"/>
        <v>78754.073426972303</v>
      </c>
      <c r="K126" s="201">
        <f t="shared" si="22"/>
        <v>316442.42381018848</v>
      </c>
    </row>
    <row r="127" spans="2:11" x14ac:dyDescent="0.25">
      <c r="B127" s="181">
        <v>79</v>
      </c>
      <c r="C127" s="144">
        <f t="shared" si="15"/>
        <v>777879.77867203217</v>
      </c>
      <c r="D127" s="142">
        <f t="shared" si="23"/>
        <v>21816398.390342049</v>
      </c>
      <c r="E127" s="144">
        <f t="shared" si="16"/>
        <v>257737.5</v>
      </c>
      <c r="F127" s="142">
        <f t="shared" si="17"/>
        <v>7228500</v>
      </c>
      <c r="G127" s="61">
        <f t="shared" si="18"/>
        <v>1718.25</v>
      </c>
      <c r="H127" s="60">
        <f t="shared" si="19"/>
        <v>158</v>
      </c>
      <c r="I127" s="201">
        <f t="shared" si="20"/>
        <v>239935.85075739949</v>
      </c>
      <c r="J127" s="201">
        <f t="shared" si="21"/>
        <v>79498.745217618358</v>
      </c>
      <c r="K127" s="201">
        <f t="shared" si="22"/>
        <v>319434.59597501782</v>
      </c>
    </row>
    <row r="128" spans="2:11" x14ac:dyDescent="0.25">
      <c r="B128" s="181">
        <v>80</v>
      </c>
      <c r="C128" s="144">
        <f t="shared" si="15"/>
        <v>796780.6841046277</v>
      </c>
      <c r="D128" s="142">
        <f t="shared" si="23"/>
        <v>22613179.074446678</v>
      </c>
      <c r="E128" s="144">
        <f t="shared" si="16"/>
        <v>264000</v>
      </c>
      <c r="F128" s="142">
        <f t="shared" si="17"/>
        <v>7492500</v>
      </c>
      <c r="G128" s="61">
        <f t="shared" si="18"/>
        <v>1760</v>
      </c>
      <c r="H128" s="60">
        <f t="shared" si="19"/>
        <v>160</v>
      </c>
      <c r="I128" s="201">
        <f t="shared" si="20"/>
        <v>242133.79968766088</v>
      </c>
      <c r="J128" s="201">
        <f t="shared" si="21"/>
        <v>80226.99896317831</v>
      </c>
      <c r="K128" s="201">
        <f t="shared" si="22"/>
        <v>322360.79865083919</v>
      </c>
    </row>
    <row r="129" spans="1:11" x14ac:dyDescent="0.25">
      <c r="B129" s="181">
        <v>81</v>
      </c>
      <c r="C129" s="144">
        <f t="shared" si="15"/>
        <v>815907.94768611668</v>
      </c>
      <c r="D129" s="142">
        <f t="shared" si="23"/>
        <v>23429087.022132795</v>
      </c>
      <c r="E129" s="144">
        <f t="shared" si="16"/>
        <v>270337.5</v>
      </c>
      <c r="F129" s="142">
        <f t="shared" si="17"/>
        <v>7762837.5</v>
      </c>
      <c r="G129" s="61">
        <f t="shared" si="18"/>
        <v>1802.25</v>
      </c>
      <c r="H129" s="60">
        <f t="shared" si="19"/>
        <v>162</v>
      </c>
      <c r="I129" s="201">
        <f t="shared" si="20"/>
        <v>244282.15432550764</v>
      </c>
      <c r="J129" s="201">
        <f t="shared" si="21"/>
        <v>80938.820466518198</v>
      </c>
      <c r="K129" s="201">
        <f t="shared" si="22"/>
        <v>325220.97479202581</v>
      </c>
    </row>
    <row r="130" spans="1:11" x14ac:dyDescent="0.25">
      <c r="B130" s="181">
        <v>82</v>
      </c>
      <c r="C130" s="144">
        <f t="shared" si="15"/>
        <v>835261.56941649888</v>
      </c>
      <c r="D130" s="142">
        <f t="shared" si="23"/>
        <v>24264348.591549296</v>
      </c>
      <c r="E130" s="144">
        <f t="shared" si="16"/>
        <v>276750</v>
      </c>
      <c r="F130" s="142">
        <f t="shared" si="17"/>
        <v>8039587.5</v>
      </c>
      <c r="G130" s="61">
        <f t="shared" si="18"/>
        <v>1845</v>
      </c>
      <c r="H130" s="60">
        <f t="shared" si="19"/>
        <v>164</v>
      </c>
      <c r="I130" s="201">
        <f t="shared" si="20"/>
        <v>246380.89893411103</v>
      </c>
      <c r="J130" s="201">
        <f t="shared" si="21"/>
        <v>81634.204513502133</v>
      </c>
      <c r="K130" s="201">
        <f t="shared" si="22"/>
        <v>328015.10344761313</v>
      </c>
    </row>
    <row r="131" spans="1:11" x14ac:dyDescent="0.25">
      <c r="B131" s="181">
        <v>83</v>
      </c>
      <c r="C131" s="144">
        <f t="shared" si="15"/>
        <v>854841.54929577454</v>
      </c>
      <c r="D131" s="142">
        <f t="shared" si="23"/>
        <v>25119190.140845072</v>
      </c>
      <c r="E131" s="144">
        <f t="shared" si="16"/>
        <v>283237.5</v>
      </c>
      <c r="F131" s="142">
        <f t="shared" si="17"/>
        <v>8322825</v>
      </c>
      <c r="G131" s="61">
        <f t="shared" si="18"/>
        <v>1888.25</v>
      </c>
      <c r="H131" s="60">
        <f t="shared" si="19"/>
        <v>166</v>
      </c>
      <c r="I131" s="201">
        <f t="shared" si="20"/>
        <v>248430.04387431627</v>
      </c>
      <c r="J131" s="201">
        <f t="shared" si="21"/>
        <v>82313.154537023467</v>
      </c>
      <c r="K131" s="201">
        <f t="shared" si="22"/>
        <v>330743.19841133978</v>
      </c>
    </row>
    <row r="132" spans="1:11" x14ac:dyDescent="0.25">
      <c r="B132" s="181">
        <v>84</v>
      </c>
      <c r="C132" s="144">
        <f t="shared" si="15"/>
        <v>874647.88732394355</v>
      </c>
      <c r="D132" s="142">
        <f t="shared" si="23"/>
        <v>25993838.028169014</v>
      </c>
      <c r="E132" s="144">
        <f t="shared" si="16"/>
        <v>289800</v>
      </c>
      <c r="F132" s="142">
        <f t="shared" si="17"/>
        <v>8612625</v>
      </c>
      <c r="G132" s="61">
        <f t="shared" si="18"/>
        <v>1932</v>
      </c>
      <c r="H132" s="60">
        <f t="shared" si="19"/>
        <v>168</v>
      </c>
      <c r="I132" s="201">
        <f t="shared" si="20"/>
        <v>250429.62461798254</v>
      </c>
      <c r="J132" s="201">
        <f t="shared" si="21"/>
        <v>82975.682290091558</v>
      </c>
      <c r="K132" s="201">
        <f t="shared" si="22"/>
        <v>333405.30690807407</v>
      </c>
    </row>
    <row r="133" spans="1:11" x14ac:dyDescent="0.25">
      <c r="A133" s="48"/>
      <c r="B133" s="182">
        <v>85</v>
      </c>
      <c r="C133" s="144">
        <f t="shared" si="15"/>
        <v>894680.58350100601</v>
      </c>
      <c r="D133" s="142">
        <f t="shared" si="23"/>
        <v>26888518.611670021</v>
      </c>
      <c r="E133" s="144">
        <f t="shared" si="16"/>
        <v>296437.5</v>
      </c>
      <c r="F133" s="142">
        <f t="shared" si="17"/>
        <v>8909062.5</v>
      </c>
      <c r="G133" s="61">
        <f t="shared" si="18"/>
        <v>1976.25</v>
      </c>
      <c r="H133" s="60">
        <f t="shared" si="19"/>
        <v>170</v>
      </c>
      <c r="I133" s="201">
        <f t="shared" si="20"/>
        <v>252379.70078801829</v>
      </c>
      <c r="J133" s="201">
        <f t="shared" si="21"/>
        <v>83621.807527763391</v>
      </c>
      <c r="K133" s="201">
        <f t="shared" si="22"/>
        <v>336001.50831578166</v>
      </c>
    </row>
    <row r="134" spans="1:11" x14ac:dyDescent="0.25">
      <c r="A134" s="48"/>
      <c r="B134" s="182">
        <v>86</v>
      </c>
      <c r="C134" s="144">
        <f t="shared" si="15"/>
        <v>914939.63782696181</v>
      </c>
      <c r="D134" s="142">
        <f t="shared" si="23"/>
        <v>27803458.249496982</v>
      </c>
      <c r="E134" s="144">
        <f t="shared" si="16"/>
        <v>303150</v>
      </c>
      <c r="F134" s="142">
        <f t="shared" si="17"/>
        <v>9212212.5</v>
      </c>
      <c r="G134" s="61">
        <f t="shared" si="18"/>
        <v>2021</v>
      </c>
      <c r="H134" s="60">
        <f t="shared" si="19"/>
        <v>172</v>
      </c>
      <c r="I134" s="201">
        <f t="shared" si="20"/>
        <v>254280.35522449037</v>
      </c>
      <c r="J134" s="201">
        <f t="shared" si="21"/>
        <v>84251.557697714466</v>
      </c>
      <c r="K134" s="201">
        <f t="shared" si="22"/>
        <v>338531.91292220488</v>
      </c>
    </row>
    <row r="135" spans="1:11" x14ac:dyDescent="0.25">
      <c r="A135" s="48"/>
      <c r="B135" s="182">
        <v>87</v>
      </c>
      <c r="C135" s="144">
        <f t="shared" si="15"/>
        <v>935425.05030181084</v>
      </c>
      <c r="D135" s="142">
        <f t="shared" si="23"/>
        <v>28738883.299798794</v>
      </c>
      <c r="E135" s="144">
        <f t="shared" si="16"/>
        <v>309937.5</v>
      </c>
      <c r="F135" s="142">
        <f t="shared" si="17"/>
        <v>9522150</v>
      </c>
      <c r="G135" s="61">
        <f t="shared" si="18"/>
        <v>2066.25</v>
      </c>
      <c r="H135" s="60">
        <f t="shared" si="19"/>
        <v>174</v>
      </c>
      <c r="I135" s="201">
        <f t="shared" si="20"/>
        <v>256131.69307619907</v>
      </c>
      <c r="J135" s="201">
        <f t="shared" si="21"/>
        <v>84864.96763924729</v>
      </c>
      <c r="K135" s="201">
        <f t="shared" si="22"/>
        <v>340996.66071544628</v>
      </c>
    </row>
    <row r="136" spans="1:11" x14ac:dyDescent="0.25">
      <c r="A136" s="48"/>
      <c r="B136" s="182">
        <v>88</v>
      </c>
      <c r="C136" s="144">
        <f t="shared" si="15"/>
        <v>956136.82092555333</v>
      </c>
      <c r="D136" s="142">
        <f t="shared" si="23"/>
        <v>29695020.120724346</v>
      </c>
      <c r="E136" s="144">
        <f t="shared" si="16"/>
        <v>316800</v>
      </c>
      <c r="F136" s="142">
        <f t="shared" si="17"/>
        <v>9838950</v>
      </c>
      <c r="G136" s="61">
        <f t="shared" si="18"/>
        <v>2112</v>
      </c>
      <c r="H136" s="60">
        <f t="shared" si="19"/>
        <v>176</v>
      </c>
      <c r="I136" s="201">
        <f t="shared" si="20"/>
        <v>257933.84091712398</v>
      </c>
      <c r="J136" s="201">
        <f t="shared" si="21"/>
        <v>85462.079290540409</v>
      </c>
      <c r="K136" s="201">
        <f t="shared" si="22"/>
        <v>343395.92020766437</v>
      </c>
    </row>
    <row r="137" spans="1:11" x14ac:dyDescent="0.25">
      <c r="A137" s="48"/>
      <c r="B137" s="182">
        <v>89</v>
      </c>
      <c r="C137" s="144">
        <f t="shared" si="15"/>
        <v>977074.94969818904</v>
      </c>
      <c r="D137" s="142">
        <f t="shared" si="23"/>
        <v>30672095.070422534</v>
      </c>
      <c r="E137" s="144">
        <f t="shared" si="16"/>
        <v>323737.5</v>
      </c>
      <c r="F137" s="142">
        <f t="shared" si="17"/>
        <v>10162687.5</v>
      </c>
      <c r="G137" s="61">
        <f t="shared" si="18"/>
        <v>2158.25</v>
      </c>
      <c r="H137" s="60">
        <f t="shared" si="19"/>
        <v>178</v>
      </c>
      <c r="I137" s="201">
        <f t="shared" si="20"/>
        <v>259686.94588715796</v>
      </c>
      <c r="J137" s="201">
        <f t="shared" si="21"/>
        <v>86042.941403945006</v>
      </c>
      <c r="K137" s="201">
        <f t="shared" si="22"/>
        <v>345729.88729110296</v>
      </c>
    </row>
    <row r="138" spans="1:11" x14ac:dyDescent="0.25">
      <c r="A138" s="48"/>
      <c r="B138" s="182">
        <v>90</v>
      </c>
      <c r="C138" s="144">
        <f t="shared" si="15"/>
        <v>998239.43661971821</v>
      </c>
      <c r="D138" s="142">
        <f t="shared" si="23"/>
        <v>31670334.507042252</v>
      </c>
      <c r="E138" s="144">
        <f t="shared" si="16"/>
        <v>330750</v>
      </c>
      <c r="F138" s="142">
        <f t="shared" si="17"/>
        <v>10493437.5</v>
      </c>
      <c r="G138" s="61">
        <f t="shared" si="18"/>
        <v>2205</v>
      </c>
      <c r="H138" s="60">
        <f t="shared" si="19"/>
        <v>180</v>
      </c>
      <c r="I138" s="201">
        <f t="shared" si="20"/>
        <v>261391.17485656007</v>
      </c>
      <c r="J138" s="201">
        <f t="shared" si="21"/>
        <v>86607.609269140245</v>
      </c>
      <c r="K138" s="201">
        <f t="shared" si="22"/>
        <v>347998.7841257003</v>
      </c>
    </row>
    <row r="139" spans="1:11" x14ac:dyDescent="0.25">
      <c r="A139" s="48"/>
      <c r="B139" s="182">
        <v>91</v>
      </c>
      <c r="C139" s="144">
        <f t="shared" si="15"/>
        <v>1019630.2816901408</v>
      </c>
      <c r="D139" s="142">
        <f t="shared" si="23"/>
        <v>32689964.788732391</v>
      </c>
      <c r="E139" s="144">
        <f t="shared" si="16"/>
        <v>337837.5</v>
      </c>
      <c r="F139" s="142">
        <f t="shared" si="17"/>
        <v>10831275</v>
      </c>
      <c r="G139" s="61">
        <f t="shared" si="18"/>
        <v>2252.25</v>
      </c>
      <c r="H139" s="60">
        <f t="shared" si="19"/>
        <v>182</v>
      </c>
      <c r="I139" s="201">
        <f t="shared" si="20"/>
        <v>263046.71361356857</v>
      </c>
      <c r="J139" s="201">
        <f t="shared" si="21"/>
        <v>87156.144443962388</v>
      </c>
      <c r="K139" s="201">
        <f t="shared" si="22"/>
        <v>350202.85805753095</v>
      </c>
    </row>
    <row r="140" spans="1:11" x14ac:dyDescent="0.25">
      <c r="A140" s="48"/>
      <c r="B140" s="182">
        <v>92</v>
      </c>
      <c r="C140" s="144">
        <f t="shared" si="15"/>
        <v>1041247.4849094568</v>
      </c>
      <c r="D140" s="142">
        <f t="shared" si="23"/>
        <v>33731212.273641847</v>
      </c>
      <c r="E140" s="144">
        <f t="shared" si="16"/>
        <v>345000</v>
      </c>
      <c r="F140" s="142">
        <f t="shared" si="17"/>
        <v>11176275</v>
      </c>
      <c r="G140" s="61">
        <f t="shared" si="18"/>
        <v>2300</v>
      </c>
      <c r="H140" s="60">
        <f t="shared" si="19"/>
        <v>184</v>
      </c>
      <c r="I140" s="201">
        <f t="shared" si="20"/>
        <v>264653.7660746295</v>
      </c>
      <c r="J140" s="201">
        <f t="shared" si="21"/>
        <v>87688.614492727225</v>
      </c>
      <c r="K140" s="201">
        <f t="shared" si="22"/>
        <v>352342.38056735665</v>
      </c>
    </row>
    <row r="141" spans="1:11" x14ac:dyDescent="0.25">
      <c r="A141" s="48"/>
      <c r="B141" s="182">
        <v>93</v>
      </c>
      <c r="C141" s="144">
        <f t="shared" si="15"/>
        <v>1063091.046277666</v>
      </c>
      <c r="D141" s="142">
        <f t="shared" si="23"/>
        <v>34794303.319919512</v>
      </c>
      <c r="E141" s="144">
        <f t="shared" si="16"/>
        <v>352237.5</v>
      </c>
      <c r="F141" s="142">
        <f t="shared" si="17"/>
        <v>11528512.5</v>
      </c>
      <c r="G141" s="61">
        <f t="shared" si="18"/>
        <v>2348.25</v>
      </c>
      <c r="H141" s="60">
        <f t="shared" si="19"/>
        <v>186</v>
      </c>
      <c r="I141" s="201">
        <f t="shared" si="20"/>
        <v>266212.55351670535</v>
      </c>
      <c r="J141" s="201">
        <f t="shared" si="21"/>
        <v>88205.092731868368</v>
      </c>
      <c r="K141" s="201">
        <f t="shared" si="22"/>
        <v>354417.64624857373</v>
      </c>
    </row>
    <row r="142" spans="1:11" x14ac:dyDescent="0.25">
      <c r="A142" s="48"/>
      <c r="B142" s="182">
        <v>94</v>
      </c>
      <c r="C142" s="144">
        <f t="shared" si="15"/>
        <v>1085160.9657947687</v>
      </c>
      <c r="D142" s="142">
        <f t="shared" si="23"/>
        <v>35879464.285714284</v>
      </c>
      <c r="E142" s="144">
        <f t="shared" si="16"/>
        <v>359550</v>
      </c>
      <c r="F142" s="142">
        <f t="shared" si="17"/>
        <v>11888062.5</v>
      </c>
      <c r="G142" s="61">
        <f t="shared" si="18"/>
        <v>2397</v>
      </c>
      <c r="H142" s="60">
        <f t="shared" si="19"/>
        <v>188</v>
      </c>
      <c r="I142" s="201">
        <f t="shared" si="20"/>
        <v>267723.31383114372</v>
      </c>
      <c r="J142" s="201">
        <f t="shared" si="21"/>
        <v>88705.657982718942</v>
      </c>
      <c r="K142" s="201">
        <f t="shared" si="22"/>
        <v>356428.97181386262</v>
      </c>
    </row>
    <row r="143" spans="1:11" x14ac:dyDescent="0.25">
      <c r="A143" s="48"/>
      <c r="B143" s="182">
        <v>95</v>
      </c>
      <c r="C143" s="144">
        <f t="shared" si="15"/>
        <v>1107457.2434607644</v>
      </c>
      <c r="D143" s="142">
        <f t="shared" si="23"/>
        <v>36986921.529175051</v>
      </c>
      <c r="E143" s="144">
        <f t="shared" si="16"/>
        <v>366937.5</v>
      </c>
      <c r="F143" s="142">
        <f t="shared" si="17"/>
        <v>12255000</v>
      </c>
      <c r="G143" s="61">
        <f t="shared" si="18"/>
        <v>2446.25</v>
      </c>
      <c r="H143" s="60">
        <f t="shared" si="19"/>
        <v>190</v>
      </c>
      <c r="I143" s="201">
        <f t="shared" si="20"/>
        <v>269186.30079859064</v>
      </c>
      <c r="J143" s="201">
        <f t="shared" si="21"/>
        <v>89190.394331266391</v>
      </c>
      <c r="K143" s="201">
        <f t="shared" si="22"/>
        <v>358376.69512985705</v>
      </c>
    </row>
    <row r="144" spans="1:11" x14ac:dyDescent="0.25">
      <c r="A144" s="48"/>
      <c r="B144" s="182">
        <v>96</v>
      </c>
      <c r="C144" s="144">
        <f t="shared" si="15"/>
        <v>1129979.8792756537</v>
      </c>
      <c r="D144" s="142">
        <f t="shared" si="23"/>
        <v>38116901.408450708</v>
      </c>
      <c r="E144" s="144">
        <f t="shared" si="16"/>
        <v>374400</v>
      </c>
      <c r="F144" s="142">
        <f t="shared" si="17"/>
        <v>12629400</v>
      </c>
      <c r="G144" s="61">
        <f t="shared" si="18"/>
        <v>2496</v>
      </c>
      <c r="H144" s="60">
        <f t="shared" si="19"/>
        <v>192</v>
      </c>
      <c r="I144" s="201">
        <f t="shared" si="20"/>
        <v>270601.78338445339</v>
      </c>
      <c r="J144" s="201">
        <f t="shared" si="21"/>
        <v>89659.390894715572</v>
      </c>
      <c r="K144" s="201">
        <f t="shared" si="22"/>
        <v>360261.17427916895</v>
      </c>
    </row>
    <row r="145" spans="1:11" x14ac:dyDescent="0.25">
      <c r="A145" s="48"/>
      <c r="B145" s="182">
        <v>97</v>
      </c>
      <c r="C145" s="144">
        <f t="shared" si="15"/>
        <v>1152728.8732394364</v>
      </c>
      <c r="D145" s="142">
        <f t="shared" si="23"/>
        <v>39269630.281690143</v>
      </c>
      <c r="E145" s="144">
        <f t="shared" si="16"/>
        <v>381937.5</v>
      </c>
      <c r="F145" s="142">
        <f>F144+E145</f>
        <v>13011337.5</v>
      </c>
      <c r="G145" s="61">
        <f t="shared" si="18"/>
        <v>2546.25</v>
      </c>
      <c r="H145" s="60">
        <f t="shared" si="19"/>
        <v>194</v>
      </c>
      <c r="I145" s="201">
        <f t="shared" si="20"/>
        <v>271970.04505441798</v>
      </c>
      <c r="J145" s="201">
        <f t="shared" si="21"/>
        <v>90112.74159469716</v>
      </c>
      <c r="K145" s="201">
        <f t="shared" si="22"/>
        <v>362082.78664911509</v>
      </c>
    </row>
    <row r="146" spans="1:11" x14ac:dyDescent="0.25">
      <c r="A146" s="48"/>
      <c r="B146" s="182">
        <v>98</v>
      </c>
      <c r="C146" s="144">
        <f t="shared" si="15"/>
        <v>1175704.2253521127</v>
      </c>
      <c r="D146" s="142">
        <f>D145+C146</f>
        <v>40445334.507042259</v>
      </c>
      <c r="E146" s="144">
        <f t="shared" si="16"/>
        <v>389550</v>
      </c>
      <c r="F146" s="144">
        <f>F145+E146</f>
        <v>13400887.5</v>
      </c>
      <c r="G146" s="61">
        <f t="shared" si="18"/>
        <v>2597</v>
      </c>
      <c r="H146" s="60">
        <f t="shared" si="19"/>
        <v>196</v>
      </c>
      <c r="I146" s="201">
        <f t="shared" si="20"/>
        <v>273291.38310954673</v>
      </c>
      <c r="J146" s="201">
        <f t="shared" si="21"/>
        <v>90550.544936963139</v>
      </c>
      <c r="K146" s="201">
        <f t="shared" si="22"/>
        <v>363841.92804650986</v>
      </c>
    </row>
    <row r="147" spans="1:11" x14ac:dyDescent="0.25">
      <c r="B147" s="182">
        <v>99</v>
      </c>
      <c r="C147" s="144">
        <f t="shared" si="15"/>
        <v>1198905.935613682</v>
      </c>
      <c r="D147" s="142">
        <f t="shared" ref="D147:D148" si="24">D146+C147</f>
        <v>41644240.442655943</v>
      </c>
      <c r="E147" s="144">
        <f t="shared" si="16"/>
        <v>397237.5</v>
      </c>
      <c r="F147" s="142">
        <f t="shared" ref="F147:F148" si="25">F146+E147</f>
        <v>13798125</v>
      </c>
      <c r="G147" s="61">
        <f t="shared" si="18"/>
        <v>2648.25</v>
      </c>
      <c r="H147" s="60">
        <f t="shared" si="19"/>
        <v>198</v>
      </c>
      <c r="I147" s="201">
        <f t="shared" si="20"/>
        <v>274566.10804048518</v>
      </c>
      <c r="J147" s="201">
        <f t="shared" ref="J147:J148" si="26">E147/((1+$L$37)^B147)</f>
        <v>90972.903797414096</v>
      </c>
      <c r="K147" s="201">
        <f t="shared" ref="K147:K148" si="27">(C147+E147)/((1+$L$37)^B147)</f>
        <v>365539.01183789928</v>
      </c>
    </row>
    <row r="148" spans="1:11" x14ac:dyDescent="0.25">
      <c r="B148" s="182">
        <v>100</v>
      </c>
      <c r="C148" s="144">
        <f t="shared" si="15"/>
        <v>1222334.004024145</v>
      </c>
      <c r="D148" s="142">
        <f t="shared" si="24"/>
        <v>42866574.446680091</v>
      </c>
      <c r="E148" s="144">
        <f t="shared" si="16"/>
        <v>405000</v>
      </c>
      <c r="F148" s="142">
        <f t="shared" si="25"/>
        <v>14203125</v>
      </c>
      <c r="G148" s="61">
        <f t="shared" si="18"/>
        <v>2700</v>
      </c>
      <c r="H148" s="60">
        <f t="shared" si="19"/>
        <v>200</v>
      </c>
      <c r="I148" s="201">
        <f t="shared" si="20"/>
        <v>275794.54290032043</v>
      </c>
      <c r="J148" s="201">
        <f t="shared" si="26"/>
        <v>91379.925214306175</v>
      </c>
      <c r="K148" s="201">
        <f t="shared" si="27"/>
        <v>367174.46811462659</v>
      </c>
    </row>
    <row r="149" spans="1:11" x14ac:dyDescent="0.25">
      <c r="B149" s="4"/>
      <c r="C149" s="3"/>
      <c r="D149" s="2"/>
      <c r="E149" s="1"/>
      <c r="I149" s="201"/>
      <c r="J149" s="201"/>
      <c r="K149" s="201"/>
    </row>
    <row r="150" spans="1:11" x14ac:dyDescent="0.25">
      <c r="B150" s="4"/>
      <c r="C150" s="3"/>
      <c r="D150" s="2"/>
      <c r="E150" s="1"/>
      <c r="I150" s="201"/>
      <c r="J150" s="201"/>
      <c r="K150" s="201"/>
    </row>
    <row r="151" spans="1:11" x14ac:dyDescent="0.25">
      <c r="B151" s="4"/>
      <c r="C151" s="3"/>
      <c r="D151" s="2"/>
      <c r="E151" s="1"/>
      <c r="I151" s="201"/>
      <c r="J151" s="201"/>
      <c r="K151" s="201"/>
    </row>
    <row r="152" spans="1:11" x14ac:dyDescent="0.25">
      <c r="B152" s="4"/>
      <c r="C152" s="3"/>
      <c r="D152" s="2"/>
      <c r="E152" s="1"/>
      <c r="I152" s="201"/>
      <c r="J152" s="201"/>
      <c r="K152" s="201"/>
    </row>
    <row r="153" spans="1:11" x14ac:dyDescent="0.25">
      <c r="B153" s="4"/>
      <c r="C153" s="3"/>
      <c r="D153" s="2"/>
      <c r="E153" s="1"/>
      <c r="I153" s="201"/>
      <c r="J153" s="201"/>
      <c r="K153" s="201"/>
    </row>
    <row r="154" spans="1:11" x14ac:dyDescent="0.25">
      <c r="B154" s="4"/>
      <c r="C154" s="3"/>
      <c r="D154" s="2"/>
      <c r="E154" s="1"/>
      <c r="I154" s="201"/>
      <c r="J154" s="201"/>
      <c r="K154" s="201"/>
    </row>
    <row r="155" spans="1:11" x14ac:dyDescent="0.25">
      <c r="B155" s="4"/>
      <c r="C155" s="3"/>
      <c r="D155" s="2"/>
      <c r="E155" s="1"/>
      <c r="I155" s="201"/>
      <c r="J155" s="201"/>
      <c r="K155" s="201"/>
    </row>
    <row r="156" spans="1:11" x14ac:dyDescent="0.25">
      <c r="B156" s="4"/>
      <c r="C156" s="3"/>
      <c r="D156" s="2"/>
      <c r="E156" s="1"/>
      <c r="I156" s="201"/>
      <c r="J156" s="201"/>
      <c r="K156" s="201"/>
    </row>
    <row r="157" spans="1:11" x14ac:dyDescent="0.25">
      <c r="B157" s="4"/>
      <c r="C157" s="3"/>
      <c r="D157" s="2"/>
      <c r="E157" s="1"/>
      <c r="I157" s="201"/>
      <c r="J157" s="201"/>
      <c r="K157" s="201"/>
    </row>
    <row r="158" spans="1:11" x14ac:dyDescent="0.25">
      <c r="B158" s="4"/>
      <c r="C158" s="3"/>
      <c r="D158" s="2"/>
      <c r="E158" s="1"/>
      <c r="I158" s="201"/>
      <c r="J158" s="201"/>
      <c r="K158" s="201"/>
    </row>
    <row r="159" spans="1:11" x14ac:dyDescent="0.25">
      <c r="B159" s="4"/>
      <c r="C159" s="3"/>
      <c r="D159" s="2"/>
      <c r="E159" s="1"/>
      <c r="I159" s="201"/>
      <c r="J159" s="201"/>
      <c r="K159" s="201"/>
    </row>
    <row r="160" spans="1:11" x14ac:dyDescent="0.25">
      <c r="B160" s="4"/>
      <c r="C160" s="3"/>
      <c r="D160" s="2"/>
      <c r="E160" s="1"/>
      <c r="I160" s="201"/>
      <c r="J160" s="201"/>
      <c r="K160" s="201"/>
    </row>
    <row r="161" spans="2:11" x14ac:dyDescent="0.25">
      <c r="B161" s="4"/>
      <c r="C161" s="3"/>
      <c r="D161" s="2"/>
      <c r="E161" s="1"/>
      <c r="I161" s="201"/>
      <c r="J161" s="201"/>
      <c r="K161" s="201"/>
    </row>
    <row r="162" spans="2:11" x14ac:dyDescent="0.25">
      <c r="B162" s="4"/>
      <c r="C162" s="3"/>
      <c r="D162" s="2"/>
      <c r="E162" s="1"/>
      <c r="I162" s="201"/>
      <c r="J162" s="201"/>
      <c r="K162" s="201"/>
    </row>
    <row r="163" spans="2:11" x14ac:dyDescent="0.25">
      <c r="B163" s="4"/>
      <c r="C163" s="3"/>
      <c r="D163" s="2"/>
      <c r="E163" s="1"/>
      <c r="I163" s="201"/>
      <c r="J163" s="201"/>
      <c r="K163" s="201"/>
    </row>
    <row r="164" spans="2:11" x14ac:dyDescent="0.25">
      <c r="B164" s="4"/>
      <c r="C164" s="3"/>
      <c r="D164" s="2"/>
      <c r="E164" s="1"/>
      <c r="I164" s="201"/>
      <c r="J164" s="201"/>
      <c r="K164" s="201"/>
    </row>
    <row r="165" spans="2:11" x14ac:dyDescent="0.25">
      <c r="B165" s="4"/>
      <c r="C165" s="3"/>
      <c r="D165" s="2"/>
      <c r="E165" s="1"/>
      <c r="I165" s="201"/>
      <c r="J165" s="201"/>
      <c r="K165" s="201"/>
    </row>
    <row r="166" spans="2:11" x14ac:dyDescent="0.25">
      <c r="B166" s="4"/>
      <c r="C166" s="3"/>
      <c r="D166" s="2"/>
      <c r="E166" s="1"/>
      <c r="I166" s="201"/>
      <c r="J166" s="201"/>
      <c r="K166" s="201"/>
    </row>
    <row r="167" spans="2:11" x14ac:dyDescent="0.25">
      <c r="B167" s="4"/>
      <c r="C167" s="3"/>
      <c r="D167" s="2"/>
      <c r="E167" s="1"/>
    </row>
    <row r="168" spans="2:11" x14ac:dyDescent="0.25">
      <c r="B168" s="4"/>
      <c r="C168" s="3"/>
      <c r="D168" s="2"/>
      <c r="E168" s="1"/>
    </row>
    <row r="169" spans="2:11" x14ac:dyDescent="0.25">
      <c r="B169" s="4"/>
      <c r="C169" s="3"/>
      <c r="D169" s="2"/>
      <c r="E169" s="1"/>
    </row>
    <row r="170" spans="2:11" x14ac:dyDescent="0.25">
      <c r="B170" s="4"/>
      <c r="C170" s="3"/>
      <c r="D170" s="2"/>
      <c r="E170" s="1"/>
    </row>
    <row r="171" spans="2:11" x14ac:dyDescent="0.25">
      <c r="B171" s="4"/>
      <c r="C171" s="3"/>
      <c r="D171" s="2"/>
      <c r="E171" s="1"/>
    </row>
  </sheetData>
  <mergeCells count="3">
    <mergeCell ref="C46:D46"/>
    <mergeCell ref="E46:F46"/>
    <mergeCell ref="B7:H9"/>
  </mergeCells>
  <pageMargins left="0.7" right="0.7" top="0.75" bottom="0.75" header="0.3" footer="0.3"/>
  <pageSetup paperSize="9" orientation="portrait" verticalDpi="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1"/>
  <sheetViews>
    <sheetView topLeftCell="A19" zoomScale="83" zoomScaleNormal="83" workbookViewId="0"/>
  </sheetViews>
  <sheetFormatPr defaultRowHeight="15" x14ac:dyDescent="0.25"/>
  <cols>
    <col min="1" max="1" width="3.140625" customWidth="1"/>
    <col min="2" max="2" width="26.85546875" customWidth="1"/>
    <col min="3" max="3" width="14.85546875" customWidth="1"/>
    <col min="4" max="4" width="16.42578125" customWidth="1"/>
    <col min="5" max="5" width="11.5703125" bestFit="1" customWidth="1"/>
    <col min="6" max="6" width="26.7109375" customWidth="1"/>
    <col min="7" max="7" width="15" customWidth="1"/>
    <col min="8" max="8" width="20.28515625" customWidth="1"/>
    <col min="9" max="9" width="14.42578125" customWidth="1"/>
    <col min="10" max="10" width="11.5703125" bestFit="1" customWidth="1"/>
    <col min="11" max="11" width="20.5703125" customWidth="1"/>
    <col min="12" max="12" width="14.85546875" customWidth="1"/>
    <col min="13" max="13" width="16.7109375" customWidth="1"/>
  </cols>
  <sheetData>
    <row r="2" spans="2:14" ht="21.75" thickBot="1" x14ac:dyDescent="0.4">
      <c r="E2" s="235" t="s">
        <v>116</v>
      </c>
      <c r="F2" s="236"/>
      <c r="G2" s="237"/>
      <c r="H2" s="236"/>
      <c r="I2" s="236"/>
      <c r="J2" s="236"/>
    </row>
    <row r="3" spans="2:14" ht="18.75" x14ac:dyDescent="0.3">
      <c r="B3" s="185" t="s">
        <v>299</v>
      </c>
      <c r="C3" s="186"/>
      <c r="D3" s="186"/>
      <c r="E3" s="186"/>
      <c r="F3" s="186"/>
      <c r="G3" s="186"/>
      <c r="H3" s="186"/>
      <c r="I3" s="187"/>
      <c r="J3" s="58"/>
    </row>
    <row r="4" spans="2:14" ht="18.75" x14ac:dyDescent="0.3">
      <c r="B4" s="59" t="s">
        <v>115</v>
      </c>
      <c r="E4" s="58"/>
      <c r="F4" s="58"/>
      <c r="G4" s="58"/>
      <c r="H4" s="58"/>
      <c r="I4" s="58"/>
      <c r="J4" s="58"/>
    </row>
    <row r="5" spans="2:14" x14ac:dyDescent="0.25">
      <c r="B5" s="57" t="s">
        <v>114</v>
      </c>
      <c r="C5" s="57"/>
      <c r="D5" s="57">
        <v>110</v>
      </c>
      <c r="E5" t="s">
        <v>113</v>
      </c>
      <c r="G5" s="57" t="s">
        <v>112</v>
      </c>
      <c r="H5" s="57"/>
      <c r="I5" s="57">
        <v>200</v>
      </c>
      <c r="K5" s="57" t="s">
        <v>15</v>
      </c>
      <c r="L5" s="57">
        <v>4970</v>
      </c>
      <c r="M5" t="s">
        <v>6</v>
      </c>
      <c r="N5" t="s">
        <v>106</v>
      </c>
    </row>
    <row r="6" spans="2:14" x14ac:dyDescent="0.25">
      <c r="B6" s="57" t="s">
        <v>111</v>
      </c>
      <c r="C6" s="57"/>
      <c r="D6" s="57">
        <v>100</v>
      </c>
      <c r="G6" s="57" t="s">
        <v>110</v>
      </c>
      <c r="H6" s="57"/>
      <c r="I6" s="57">
        <v>0.2</v>
      </c>
      <c r="K6" s="57" t="s">
        <v>14</v>
      </c>
      <c r="L6" s="56">
        <v>2500000</v>
      </c>
      <c r="M6" t="s">
        <v>10</v>
      </c>
    </row>
    <row r="7" spans="2:14" x14ac:dyDescent="0.25">
      <c r="B7" s="57" t="s">
        <v>109</v>
      </c>
      <c r="C7" s="57"/>
      <c r="D7" s="56">
        <v>33000</v>
      </c>
      <c r="G7" s="57" t="s">
        <v>108</v>
      </c>
      <c r="H7" s="57"/>
      <c r="I7" s="57">
        <v>110</v>
      </c>
      <c r="K7" s="57" t="s">
        <v>13</v>
      </c>
      <c r="L7" s="57">
        <v>0.1</v>
      </c>
      <c r="M7" t="s">
        <v>12</v>
      </c>
    </row>
    <row r="8" spans="2:14" x14ac:dyDescent="0.25">
      <c r="B8" t="s">
        <v>107</v>
      </c>
      <c r="D8" s="22">
        <f>D7/(D6*D5)</f>
        <v>3</v>
      </c>
      <c r="K8" s="29" t="s">
        <v>11</v>
      </c>
      <c r="L8" s="3">
        <f>(1-L7)*L6</f>
        <v>2250000</v>
      </c>
      <c r="M8" t="s">
        <v>10</v>
      </c>
      <c r="N8" t="s">
        <v>106</v>
      </c>
    </row>
    <row r="9" spans="2:14" x14ac:dyDescent="0.25">
      <c r="B9" s="57" t="s">
        <v>105</v>
      </c>
      <c r="C9" s="57"/>
      <c r="D9" s="56">
        <v>0.5</v>
      </c>
    </row>
    <row r="10" spans="2:14" x14ac:dyDescent="0.25">
      <c r="B10" t="s">
        <v>104</v>
      </c>
      <c r="D10" s="22">
        <f>D8+D9</f>
        <v>3.5</v>
      </c>
      <c r="G10" t="s">
        <v>103</v>
      </c>
      <c r="I10" s="22">
        <f>I5*I6*D10*I7</f>
        <v>15400</v>
      </c>
      <c r="J10" t="s">
        <v>8</v>
      </c>
      <c r="K10" t="s">
        <v>97</v>
      </c>
      <c r="L10" s="3">
        <f>L8/L5</f>
        <v>452.7162977867203</v>
      </c>
      <c r="M10" t="s">
        <v>8</v>
      </c>
    </row>
    <row r="11" spans="2:14" x14ac:dyDescent="0.25">
      <c r="D11" s="22"/>
      <c r="I11" s="22"/>
      <c r="L11" s="3"/>
    </row>
    <row r="12" spans="2:14" x14ac:dyDescent="0.25">
      <c r="D12" s="22"/>
      <c r="I12" s="22"/>
      <c r="K12" s="210">
        <f>I10*G22</f>
        <v>76538000</v>
      </c>
      <c r="L12" s="3"/>
    </row>
    <row r="13" spans="2:14" x14ac:dyDescent="0.25">
      <c r="D13" s="22"/>
      <c r="I13" s="22"/>
      <c r="L13" s="3"/>
    </row>
    <row r="14" spans="2:14" x14ac:dyDescent="0.25">
      <c r="D14" s="22"/>
      <c r="I14" s="22"/>
      <c r="L14" s="3"/>
    </row>
    <row r="15" spans="2:14" x14ac:dyDescent="0.25">
      <c r="D15" s="22"/>
      <c r="I15" s="22"/>
      <c r="L15" s="3"/>
    </row>
    <row r="16" spans="2:14" x14ac:dyDescent="0.25">
      <c r="D16" s="22"/>
      <c r="I16" s="22"/>
      <c r="L16" s="3"/>
    </row>
    <row r="18" spans="2:9" ht="18.75" x14ac:dyDescent="0.3">
      <c r="B18" s="234" t="s">
        <v>102</v>
      </c>
      <c r="C18" s="234"/>
      <c r="D18" s="234"/>
      <c r="F18" s="234" t="s">
        <v>101</v>
      </c>
      <c r="G18" s="234"/>
      <c r="H18" s="234"/>
      <c r="I18" s="234"/>
    </row>
    <row r="19" spans="2:9" x14ac:dyDescent="0.25">
      <c r="B19" s="55" t="s">
        <v>20</v>
      </c>
      <c r="C19" s="54">
        <v>0.5</v>
      </c>
      <c r="D19" s="52" t="s">
        <v>18</v>
      </c>
      <c r="F19" s="55" t="s">
        <v>20</v>
      </c>
      <c r="G19" s="54">
        <v>1.5</v>
      </c>
      <c r="H19" s="53" t="s">
        <v>18</v>
      </c>
      <c r="I19" s="52"/>
    </row>
    <row r="20" spans="2:9" x14ac:dyDescent="0.25">
      <c r="B20" s="50" t="s">
        <v>19</v>
      </c>
      <c r="C20" s="51">
        <v>0.2</v>
      </c>
      <c r="D20" s="48" t="s">
        <v>18</v>
      </c>
      <c r="F20" s="50" t="s">
        <v>19</v>
      </c>
      <c r="G20" s="51">
        <v>0.5</v>
      </c>
      <c r="H20" s="26" t="s">
        <v>18</v>
      </c>
      <c r="I20" s="48"/>
    </row>
    <row r="21" spans="2:9" x14ac:dyDescent="0.25">
      <c r="B21" s="50" t="s">
        <v>17</v>
      </c>
      <c r="C21" s="51">
        <v>0.9</v>
      </c>
      <c r="D21" s="48" t="s">
        <v>6</v>
      </c>
      <c r="F21" s="50" t="s">
        <v>17</v>
      </c>
      <c r="G21" s="51">
        <v>0.9</v>
      </c>
      <c r="H21" s="26" t="s">
        <v>6</v>
      </c>
      <c r="I21" s="48"/>
    </row>
    <row r="22" spans="2:9" x14ac:dyDescent="0.25">
      <c r="B22" s="50" t="s">
        <v>15</v>
      </c>
      <c r="C22" s="51">
        <v>730</v>
      </c>
      <c r="D22" s="48" t="s">
        <v>6</v>
      </c>
      <c r="F22" s="50" t="s">
        <v>15</v>
      </c>
      <c r="G22" s="51">
        <v>4970</v>
      </c>
      <c r="H22" s="26" t="s">
        <v>6</v>
      </c>
      <c r="I22" s="48"/>
    </row>
    <row r="23" spans="2:9" x14ac:dyDescent="0.25">
      <c r="B23" s="200" t="s">
        <v>308</v>
      </c>
      <c r="C23" s="193">
        <v>20000</v>
      </c>
      <c r="D23" s="48"/>
      <c r="F23" s="200" t="s">
        <v>309</v>
      </c>
      <c r="G23" s="193">
        <v>50000</v>
      </c>
      <c r="H23" s="26"/>
      <c r="I23" s="48"/>
    </row>
    <row r="24" spans="2:9" x14ac:dyDescent="0.25">
      <c r="B24" s="200" t="s">
        <v>307</v>
      </c>
      <c r="C24" s="195">
        <v>100</v>
      </c>
      <c r="D24" s="48"/>
      <c r="F24" s="200" t="s">
        <v>307</v>
      </c>
      <c r="G24" s="195">
        <v>100</v>
      </c>
      <c r="H24" s="26"/>
      <c r="I24" s="48"/>
    </row>
    <row r="25" spans="2:9" x14ac:dyDescent="0.25">
      <c r="B25" s="200" t="s">
        <v>306</v>
      </c>
      <c r="C25" s="194">
        <v>0.5</v>
      </c>
      <c r="D25" s="48"/>
      <c r="F25" s="200" t="s">
        <v>306</v>
      </c>
      <c r="G25" s="194">
        <v>0.5</v>
      </c>
      <c r="H25" s="26"/>
      <c r="I25" s="48"/>
    </row>
    <row r="26" spans="2:9" x14ac:dyDescent="0.25">
      <c r="B26" s="50" t="s">
        <v>14</v>
      </c>
      <c r="C26" s="197">
        <f>$C$23*$C$24*$C$25</f>
        <v>1000000</v>
      </c>
      <c r="D26" s="48" t="s">
        <v>10</v>
      </c>
      <c r="F26" s="50" t="s">
        <v>14</v>
      </c>
      <c r="G26" s="197">
        <f>$G$23*$G$24*$G$25</f>
        <v>2500000</v>
      </c>
      <c r="H26" s="26" t="s">
        <v>10</v>
      </c>
      <c r="I26" s="48"/>
    </row>
    <row r="27" spans="2:9" x14ac:dyDescent="0.25">
      <c r="B27" s="50" t="s">
        <v>13</v>
      </c>
      <c r="C27" s="51">
        <v>0.1</v>
      </c>
      <c r="D27" s="48" t="s">
        <v>12</v>
      </c>
      <c r="F27" s="50" t="s">
        <v>13</v>
      </c>
      <c r="G27" s="51">
        <v>0.1</v>
      </c>
      <c r="H27" s="26" t="s">
        <v>12</v>
      </c>
      <c r="I27" s="48"/>
    </row>
    <row r="28" spans="2:9" x14ac:dyDescent="0.25">
      <c r="B28" s="50" t="s">
        <v>11</v>
      </c>
      <c r="C28" s="10">
        <f>(1-C27)*C26</f>
        <v>900000</v>
      </c>
      <c r="D28" s="48" t="s">
        <v>10</v>
      </c>
      <c r="F28" s="50" t="s">
        <v>11</v>
      </c>
      <c r="G28" s="10">
        <f>(1-G27)*G26</f>
        <v>2250000</v>
      </c>
      <c r="H28" s="26" t="s">
        <v>10</v>
      </c>
      <c r="I28" s="48"/>
    </row>
    <row r="29" spans="2:9" x14ac:dyDescent="0.25">
      <c r="B29" s="50" t="s">
        <v>9</v>
      </c>
      <c r="C29" s="10">
        <f>C28/C22</f>
        <v>1232.8767123287671</v>
      </c>
      <c r="D29" s="48" t="s">
        <v>8</v>
      </c>
      <c r="F29" s="50" t="s">
        <v>9</v>
      </c>
      <c r="G29" s="10">
        <f>G28/G22</f>
        <v>452.7162977867203</v>
      </c>
      <c r="H29" s="26" t="s">
        <v>8</v>
      </c>
      <c r="I29" s="48"/>
    </row>
    <row r="30" spans="2:9" x14ac:dyDescent="0.25">
      <c r="B30" s="49"/>
      <c r="C30" s="26"/>
      <c r="D30" s="48"/>
      <c r="F30" s="49"/>
      <c r="G30" s="26"/>
      <c r="H30" s="26"/>
      <c r="I30" s="48"/>
    </row>
    <row r="31" spans="2:9" x14ac:dyDescent="0.25">
      <c r="B31" s="49"/>
      <c r="C31" s="26"/>
      <c r="D31" s="48"/>
      <c r="F31" s="49"/>
      <c r="G31" s="26"/>
      <c r="H31" s="26"/>
      <c r="I31" s="48"/>
    </row>
    <row r="32" spans="2:9" x14ac:dyDescent="0.25">
      <c r="B32" s="46" t="s">
        <v>100</v>
      </c>
      <c r="C32" s="45" t="s">
        <v>99</v>
      </c>
      <c r="D32" s="47" t="s">
        <v>2</v>
      </c>
      <c r="F32" s="46" t="s">
        <v>98</v>
      </c>
      <c r="G32" s="45" t="s">
        <v>97</v>
      </c>
      <c r="H32" s="45" t="s">
        <v>96</v>
      </c>
      <c r="I32" s="44" t="s">
        <v>95</v>
      </c>
    </row>
    <row r="33" spans="2:9" x14ac:dyDescent="0.25">
      <c r="B33" s="181">
        <v>1</v>
      </c>
      <c r="C33" s="144">
        <f t="shared" ref="C33:C96" si="0">((1-C$27)*C$26/C$22)*(C$19*$B33+C$20*$B33)*(1+C$20*$B33/(2*C$21))</f>
        <v>958.90410958904101</v>
      </c>
      <c r="D33" s="148">
        <f>C33</f>
        <v>958.90410958904101</v>
      </c>
      <c r="F33" s="151">
        <f t="shared" ref="F33:F62" si="1">$I$10*(G$19*$B33+G$20*$B33)*(1+G$20*$B33/(2*G$21))</f>
        <v>39355.555555555555</v>
      </c>
      <c r="G33" s="153">
        <f t="shared" ref="G33:G96" si="2">IF(((1-G$27)*G$26/G$22)*(G$19*$B33+G$20*$B33)*(1+G$20*$B33/(2*G$21))&gt;((1-G$27)*G$26),((1-G$27)*G$26),((1-G$27)*G$26/G$22)*(G$19*$B33+G$20*$B33)*(1+G$20*$B33/(2*G$21)))</f>
        <v>1156.9416498993962</v>
      </c>
      <c r="H33" s="154">
        <f t="shared" ref="H33:H62" si="3">F33+G33</f>
        <v>40512.497205454951</v>
      </c>
      <c r="I33" s="155">
        <f>H33</f>
        <v>40512.497205454951</v>
      </c>
    </row>
    <row r="34" spans="2:9" x14ac:dyDescent="0.25">
      <c r="B34" s="181">
        <v>2</v>
      </c>
      <c r="C34" s="144">
        <f t="shared" si="0"/>
        <v>2109.5890410958905</v>
      </c>
      <c r="D34" s="148">
        <f t="shared" ref="D34:D62" si="4">D33+C34</f>
        <v>3068.4931506849316</v>
      </c>
      <c r="F34" s="151">
        <f t="shared" si="1"/>
        <v>95822.222222222219</v>
      </c>
      <c r="G34" s="153">
        <f t="shared" si="2"/>
        <v>2816.9014084507044</v>
      </c>
      <c r="H34" s="154">
        <f t="shared" si="3"/>
        <v>98639.123630672926</v>
      </c>
      <c r="I34" s="155">
        <f t="shared" ref="I34:I62" si="5">I33+H34</f>
        <v>139151.62083612787</v>
      </c>
    </row>
    <row r="35" spans="2:9" x14ac:dyDescent="0.25">
      <c r="B35" s="181">
        <v>3</v>
      </c>
      <c r="C35" s="144">
        <f t="shared" si="0"/>
        <v>3452.0547945205481</v>
      </c>
      <c r="D35" s="148">
        <f t="shared" si="4"/>
        <v>6520.5479452054797</v>
      </c>
      <c r="F35" s="151">
        <f t="shared" si="1"/>
        <v>169400</v>
      </c>
      <c r="G35" s="153">
        <f t="shared" si="2"/>
        <v>4979.8792756539233</v>
      </c>
      <c r="H35" s="154">
        <f t="shared" si="3"/>
        <v>174379.87927565392</v>
      </c>
      <c r="I35" s="155">
        <f t="shared" si="5"/>
        <v>313531.50011178176</v>
      </c>
    </row>
    <row r="36" spans="2:9" x14ac:dyDescent="0.25">
      <c r="B36" s="181">
        <v>4</v>
      </c>
      <c r="C36" s="144">
        <f t="shared" si="0"/>
        <v>4986.301369863013</v>
      </c>
      <c r="D36" s="148">
        <f t="shared" si="4"/>
        <v>11506.849315068492</v>
      </c>
      <c r="F36" s="151">
        <f t="shared" si="1"/>
        <v>260088.88888888891</v>
      </c>
      <c r="G36" s="153">
        <f t="shared" si="2"/>
        <v>7645.8752515090546</v>
      </c>
      <c r="H36" s="154">
        <f t="shared" si="3"/>
        <v>267734.76414039795</v>
      </c>
      <c r="I36" s="155">
        <f t="shared" si="5"/>
        <v>581266.26425217977</v>
      </c>
    </row>
    <row r="37" spans="2:9" x14ac:dyDescent="0.25">
      <c r="B37" s="181">
        <v>5</v>
      </c>
      <c r="C37" s="144">
        <f t="shared" si="0"/>
        <v>6712.3287671232874</v>
      </c>
      <c r="D37" s="148">
        <f t="shared" si="4"/>
        <v>18219.178082191778</v>
      </c>
      <c r="F37" s="151">
        <f t="shared" si="1"/>
        <v>367888.88888888888</v>
      </c>
      <c r="G37" s="153">
        <f t="shared" si="2"/>
        <v>10814.889336016096</v>
      </c>
      <c r="H37" s="154">
        <f t="shared" si="3"/>
        <v>378703.77822490496</v>
      </c>
      <c r="I37" s="155">
        <f t="shared" si="5"/>
        <v>959970.04247708479</v>
      </c>
    </row>
    <row r="38" spans="2:9" x14ac:dyDescent="0.25">
      <c r="B38" s="181">
        <v>6</v>
      </c>
      <c r="C38" s="144">
        <f t="shared" si="0"/>
        <v>8630.1369863013697</v>
      </c>
      <c r="D38" s="148">
        <f t="shared" si="4"/>
        <v>26849.315068493146</v>
      </c>
      <c r="F38" s="151">
        <f t="shared" si="1"/>
        <v>492800</v>
      </c>
      <c r="G38" s="153">
        <f t="shared" si="2"/>
        <v>14486.921529175048</v>
      </c>
      <c r="H38" s="154">
        <f t="shared" si="3"/>
        <v>507286.92152917507</v>
      </c>
      <c r="I38" s="155">
        <f t="shared" si="5"/>
        <v>1467256.9640062598</v>
      </c>
    </row>
    <row r="39" spans="2:9" x14ac:dyDescent="0.25">
      <c r="B39" s="181">
        <v>7</v>
      </c>
      <c r="C39" s="144">
        <f t="shared" si="0"/>
        <v>10739.726027397261</v>
      </c>
      <c r="D39" s="148">
        <f t="shared" si="4"/>
        <v>37589.04109589041</v>
      </c>
      <c r="F39" s="151">
        <f t="shared" si="1"/>
        <v>634822.22222222225</v>
      </c>
      <c r="G39" s="153">
        <f t="shared" si="2"/>
        <v>18661.971830985916</v>
      </c>
      <c r="H39" s="154">
        <f t="shared" si="3"/>
        <v>653484.19405320822</v>
      </c>
      <c r="I39" s="155">
        <f t="shared" si="5"/>
        <v>2120741.158059468</v>
      </c>
    </row>
    <row r="40" spans="2:9" x14ac:dyDescent="0.25">
      <c r="B40" s="181">
        <v>8</v>
      </c>
      <c r="C40" s="144">
        <f t="shared" si="0"/>
        <v>13041.095890410958</v>
      </c>
      <c r="D40" s="148">
        <f t="shared" si="4"/>
        <v>50630.136986301368</v>
      </c>
      <c r="F40" s="151">
        <f t="shared" si="1"/>
        <v>793955.55555555562</v>
      </c>
      <c r="G40" s="153">
        <f t="shared" si="2"/>
        <v>23340.040241448693</v>
      </c>
      <c r="H40" s="154">
        <f t="shared" si="3"/>
        <v>817295.59579700429</v>
      </c>
      <c r="I40" s="155">
        <f t="shared" si="5"/>
        <v>2938036.7538564722</v>
      </c>
    </row>
    <row r="41" spans="2:9" x14ac:dyDescent="0.25">
      <c r="B41" s="181">
        <v>9</v>
      </c>
      <c r="C41" s="144">
        <f t="shared" si="0"/>
        <v>15534.246575342466</v>
      </c>
      <c r="D41" s="148">
        <f t="shared" si="4"/>
        <v>66164.38356164383</v>
      </c>
      <c r="F41" s="151">
        <f t="shared" si="1"/>
        <v>970200</v>
      </c>
      <c r="G41" s="153">
        <f t="shared" si="2"/>
        <v>28521.126760563377</v>
      </c>
      <c r="H41" s="154">
        <f t="shared" si="3"/>
        <v>998721.12676056335</v>
      </c>
      <c r="I41" s="155">
        <f t="shared" si="5"/>
        <v>3936757.8806170356</v>
      </c>
    </row>
    <row r="42" spans="2:9" x14ac:dyDescent="0.25">
      <c r="B42" s="183">
        <v>10</v>
      </c>
      <c r="C42" s="144">
        <f t="shared" si="0"/>
        <v>18219.178082191782</v>
      </c>
      <c r="D42" s="149">
        <f t="shared" si="4"/>
        <v>84383.561643835608</v>
      </c>
      <c r="E42" s="17"/>
      <c r="F42" s="151">
        <f t="shared" si="1"/>
        <v>1163555.5555555555</v>
      </c>
      <c r="G42" s="153">
        <f t="shared" si="2"/>
        <v>34205.231388329979</v>
      </c>
      <c r="H42" s="154">
        <f t="shared" si="3"/>
        <v>1197760.7869438855</v>
      </c>
      <c r="I42" s="155">
        <f t="shared" si="5"/>
        <v>5134518.6675609211</v>
      </c>
    </row>
    <row r="43" spans="2:9" x14ac:dyDescent="0.25">
      <c r="B43" s="181">
        <v>11</v>
      </c>
      <c r="C43" s="144">
        <f t="shared" si="0"/>
        <v>21095.890410958906</v>
      </c>
      <c r="D43" s="148">
        <f t="shared" si="4"/>
        <v>105479.45205479451</v>
      </c>
      <c r="F43" s="151">
        <f t="shared" si="1"/>
        <v>1374022.2222222222</v>
      </c>
      <c r="G43" s="153">
        <f t="shared" si="2"/>
        <v>40392.35412474849</v>
      </c>
      <c r="H43" s="154">
        <f t="shared" si="3"/>
        <v>1414414.5763469706</v>
      </c>
      <c r="I43" s="155">
        <f t="shared" si="5"/>
        <v>6548933.2439078912</v>
      </c>
    </row>
    <row r="44" spans="2:9" x14ac:dyDescent="0.25">
      <c r="B44" s="181">
        <v>12</v>
      </c>
      <c r="C44" s="144">
        <f t="shared" si="0"/>
        <v>24164.383561643837</v>
      </c>
      <c r="D44" s="148">
        <f t="shared" si="4"/>
        <v>129643.83561643836</v>
      </c>
      <c r="F44" s="151">
        <f t="shared" si="1"/>
        <v>1601600</v>
      </c>
      <c r="G44" s="153">
        <f t="shared" si="2"/>
        <v>47082.494969818908</v>
      </c>
      <c r="H44" s="154">
        <f t="shared" si="3"/>
        <v>1648682.494969819</v>
      </c>
      <c r="I44" s="155">
        <f t="shared" si="5"/>
        <v>8197615.73887771</v>
      </c>
    </row>
    <row r="45" spans="2:9" x14ac:dyDescent="0.25">
      <c r="B45" s="181">
        <v>13</v>
      </c>
      <c r="C45" s="144">
        <f t="shared" si="0"/>
        <v>27424.657534246577</v>
      </c>
      <c r="D45" s="148">
        <f t="shared" si="4"/>
        <v>157068.49315068492</v>
      </c>
      <c r="F45" s="151">
        <f t="shared" si="1"/>
        <v>1846288.8888888888</v>
      </c>
      <c r="G45" s="153">
        <f t="shared" si="2"/>
        <v>54275.653923541235</v>
      </c>
      <c r="H45" s="154">
        <f t="shared" si="3"/>
        <v>1900564.5428124301</v>
      </c>
      <c r="I45" s="155">
        <f t="shared" si="5"/>
        <v>10098180.281690139</v>
      </c>
    </row>
    <row r="46" spans="2:9" x14ac:dyDescent="0.25">
      <c r="B46" s="181">
        <v>14</v>
      </c>
      <c r="C46" s="144">
        <f t="shared" si="0"/>
        <v>30876.712328767124</v>
      </c>
      <c r="D46" s="148">
        <f t="shared" si="4"/>
        <v>187945.20547945204</v>
      </c>
      <c r="F46" s="151">
        <f t="shared" si="1"/>
        <v>2108088.888888889</v>
      </c>
      <c r="G46" s="153">
        <f t="shared" si="2"/>
        <v>61971.830985915498</v>
      </c>
      <c r="H46" s="154">
        <f t="shared" si="3"/>
        <v>2170060.7198748044</v>
      </c>
      <c r="I46" s="155">
        <f t="shared" si="5"/>
        <v>12268241.001564944</v>
      </c>
    </row>
    <row r="47" spans="2:9" x14ac:dyDescent="0.25">
      <c r="B47" s="181">
        <v>15</v>
      </c>
      <c r="C47" s="144">
        <f t="shared" si="0"/>
        <v>34520.547945205479</v>
      </c>
      <c r="D47" s="148">
        <f t="shared" si="4"/>
        <v>222465.75342465751</v>
      </c>
      <c r="F47" s="151">
        <f t="shared" si="1"/>
        <v>2387000</v>
      </c>
      <c r="G47" s="153">
        <f t="shared" si="2"/>
        <v>70171.026156941647</v>
      </c>
      <c r="H47" s="154">
        <f t="shared" si="3"/>
        <v>2457171.0261569414</v>
      </c>
      <c r="I47" s="155">
        <f t="shared" si="5"/>
        <v>14725412.027721886</v>
      </c>
    </row>
    <row r="48" spans="2:9" x14ac:dyDescent="0.25">
      <c r="B48" s="181">
        <v>16</v>
      </c>
      <c r="C48" s="144">
        <f t="shared" si="0"/>
        <v>38356.164383561641</v>
      </c>
      <c r="D48" s="148">
        <f t="shared" si="4"/>
        <v>260821.91780821915</v>
      </c>
      <c r="F48" s="151">
        <f t="shared" si="1"/>
        <v>2683022.2222222225</v>
      </c>
      <c r="G48" s="153">
        <f t="shared" si="2"/>
        <v>78873.239436619711</v>
      </c>
      <c r="H48" s="154">
        <f t="shared" si="3"/>
        <v>2761895.4616588424</v>
      </c>
      <c r="I48" s="155">
        <f t="shared" si="5"/>
        <v>17487307.489380728</v>
      </c>
    </row>
    <row r="49" spans="2:9" x14ac:dyDescent="0.25">
      <c r="B49" s="181">
        <v>17</v>
      </c>
      <c r="C49" s="144">
        <f t="shared" si="0"/>
        <v>42383.561643835623</v>
      </c>
      <c r="D49" s="148">
        <f t="shared" si="4"/>
        <v>303205.47945205477</v>
      </c>
      <c r="F49" s="151">
        <f t="shared" si="1"/>
        <v>2996155.5555555555</v>
      </c>
      <c r="G49" s="153">
        <f t="shared" si="2"/>
        <v>88078.470824949691</v>
      </c>
      <c r="H49" s="154">
        <f t="shared" si="3"/>
        <v>3084234.0263805054</v>
      </c>
      <c r="I49" s="155">
        <f t="shared" si="5"/>
        <v>20571541.515761234</v>
      </c>
    </row>
    <row r="50" spans="2:9" x14ac:dyDescent="0.25">
      <c r="B50" s="181">
        <v>18</v>
      </c>
      <c r="C50" s="144">
        <f t="shared" si="0"/>
        <v>46602.739726027401</v>
      </c>
      <c r="D50" s="148">
        <f t="shared" si="4"/>
        <v>349808.21917808219</v>
      </c>
      <c r="F50" s="151">
        <f t="shared" si="1"/>
        <v>3326400</v>
      </c>
      <c r="G50" s="153">
        <f t="shared" si="2"/>
        <v>97786.720321931585</v>
      </c>
      <c r="H50" s="154">
        <f t="shared" si="3"/>
        <v>3424186.7203219314</v>
      </c>
      <c r="I50" s="155">
        <f t="shared" si="5"/>
        <v>23995728.236083165</v>
      </c>
    </row>
    <row r="51" spans="2:9" x14ac:dyDescent="0.25">
      <c r="B51" s="181">
        <v>19</v>
      </c>
      <c r="C51" s="144">
        <f t="shared" si="0"/>
        <v>51013.698630136983</v>
      </c>
      <c r="D51" s="148">
        <f t="shared" si="4"/>
        <v>400821.91780821915</v>
      </c>
      <c r="F51" s="151">
        <f t="shared" si="1"/>
        <v>3673755.5555555555</v>
      </c>
      <c r="G51" s="153">
        <f t="shared" si="2"/>
        <v>107997.98792756538</v>
      </c>
      <c r="H51" s="154">
        <f t="shared" si="3"/>
        <v>3781753.5434831209</v>
      </c>
      <c r="I51" s="155">
        <f t="shared" si="5"/>
        <v>27777481.779566284</v>
      </c>
    </row>
    <row r="52" spans="2:9" x14ac:dyDescent="0.25">
      <c r="B52" s="181">
        <v>20</v>
      </c>
      <c r="C52" s="144">
        <f t="shared" si="0"/>
        <v>55616.438356164384</v>
      </c>
      <c r="D52" s="148">
        <f t="shared" si="4"/>
        <v>456438.35616438353</v>
      </c>
      <c r="F52" s="151">
        <f t="shared" si="1"/>
        <v>4038222.222222222</v>
      </c>
      <c r="G52" s="153">
        <f t="shared" si="2"/>
        <v>118712.2736418511</v>
      </c>
      <c r="H52" s="154">
        <f t="shared" si="3"/>
        <v>4156934.4958640733</v>
      </c>
      <c r="I52" s="155">
        <f t="shared" si="5"/>
        <v>31934416.275430359</v>
      </c>
    </row>
    <row r="53" spans="2:9" x14ac:dyDescent="0.25">
      <c r="B53" s="181">
        <v>21</v>
      </c>
      <c r="C53" s="144">
        <f t="shared" si="0"/>
        <v>60410.95890410959</v>
      </c>
      <c r="D53" s="148">
        <f t="shared" si="4"/>
        <v>516849.31506849313</v>
      </c>
      <c r="F53" s="151">
        <f t="shared" si="1"/>
        <v>4419800</v>
      </c>
      <c r="G53" s="153">
        <f t="shared" si="2"/>
        <v>129929.57746478872</v>
      </c>
      <c r="H53" s="154">
        <f t="shared" si="3"/>
        <v>4549729.5774647892</v>
      </c>
      <c r="I53" s="155">
        <f t="shared" si="5"/>
        <v>36484145.852895148</v>
      </c>
    </row>
    <row r="54" spans="2:9" x14ac:dyDescent="0.25">
      <c r="B54" s="181">
        <v>22</v>
      </c>
      <c r="C54" s="144">
        <f t="shared" si="0"/>
        <v>65397.260273972606</v>
      </c>
      <c r="D54" s="148">
        <f t="shared" si="4"/>
        <v>582246.57534246577</v>
      </c>
      <c r="F54" s="151">
        <f t="shared" si="1"/>
        <v>4818488.888888889</v>
      </c>
      <c r="G54" s="153">
        <f t="shared" si="2"/>
        <v>141649.89939637826</v>
      </c>
      <c r="H54" s="154">
        <f t="shared" si="3"/>
        <v>4960138.7882852675</v>
      </c>
      <c r="I54" s="155">
        <f t="shared" si="5"/>
        <v>41444284.641180418</v>
      </c>
    </row>
    <row r="55" spans="2:9" x14ac:dyDescent="0.25">
      <c r="B55" s="181">
        <v>23</v>
      </c>
      <c r="C55" s="144">
        <f t="shared" si="0"/>
        <v>70575.342465753434</v>
      </c>
      <c r="D55" s="148">
        <f t="shared" si="4"/>
        <v>652821.91780821921</v>
      </c>
      <c r="F55" s="151">
        <f t="shared" si="1"/>
        <v>5234288.888888889</v>
      </c>
      <c r="G55" s="153">
        <f t="shared" si="2"/>
        <v>153873.23943661971</v>
      </c>
      <c r="H55" s="154">
        <f t="shared" si="3"/>
        <v>5388162.1283255089</v>
      </c>
      <c r="I55" s="155">
        <f t="shared" si="5"/>
        <v>46832446.769505925</v>
      </c>
    </row>
    <row r="56" spans="2:9" x14ac:dyDescent="0.25">
      <c r="B56" s="181">
        <v>24</v>
      </c>
      <c r="C56" s="144">
        <f t="shared" si="0"/>
        <v>75945.205479452052</v>
      </c>
      <c r="D56" s="148">
        <f t="shared" si="4"/>
        <v>728767.12328767125</v>
      </c>
      <c r="F56" s="151">
        <f t="shared" si="1"/>
        <v>5667200</v>
      </c>
      <c r="G56" s="153">
        <f t="shared" si="2"/>
        <v>166599.59758551305</v>
      </c>
      <c r="H56" s="154">
        <f t="shared" si="3"/>
        <v>5833799.5975855133</v>
      </c>
      <c r="I56" s="155">
        <f t="shared" si="5"/>
        <v>52666246.36709144</v>
      </c>
    </row>
    <row r="57" spans="2:9" x14ac:dyDescent="0.25">
      <c r="B57" s="181">
        <v>25</v>
      </c>
      <c r="C57" s="144">
        <f t="shared" si="0"/>
        <v>81506.849315068481</v>
      </c>
      <c r="D57" s="148">
        <f t="shared" si="4"/>
        <v>810273.9726027397</v>
      </c>
      <c r="F57" s="151">
        <f t="shared" si="1"/>
        <v>6117222.222222222</v>
      </c>
      <c r="G57" s="153">
        <f t="shared" si="2"/>
        <v>179828.97384305834</v>
      </c>
      <c r="H57" s="154">
        <f t="shared" si="3"/>
        <v>6297051.1960652806</v>
      </c>
      <c r="I57" s="155">
        <f t="shared" si="5"/>
        <v>58963297.563156724</v>
      </c>
    </row>
    <row r="58" spans="2:9" x14ac:dyDescent="0.25">
      <c r="B58" s="181">
        <v>26</v>
      </c>
      <c r="C58" s="144">
        <f t="shared" si="0"/>
        <v>87260.273972602736</v>
      </c>
      <c r="D58" s="148">
        <f t="shared" si="4"/>
        <v>897534.24657534249</v>
      </c>
      <c r="F58" s="151">
        <f t="shared" si="1"/>
        <v>6584355.555555555</v>
      </c>
      <c r="G58" s="153">
        <f t="shared" si="2"/>
        <v>193561.36820925548</v>
      </c>
      <c r="H58" s="154">
        <f t="shared" si="3"/>
        <v>6777916.9237648109</v>
      </c>
      <c r="I58" s="155">
        <f t="shared" si="5"/>
        <v>65741214.486921534</v>
      </c>
    </row>
    <row r="59" spans="2:9" x14ac:dyDescent="0.25">
      <c r="B59" s="181">
        <v>27</v>
      </c>
      <c r="C59" s="144">
        <f t="shared" si="0"/>
        <v>93205.479452054788</v>
      </c>
      <c r="D59" s="148">
        <f t="shared" si="4"/>
        <v>990739.72602739732</v>
      </c>
      <c r="F59" s="151">
        <f t="shared" si="1"/>
        <v>7068600</v>
      </c>
      <c r="G59" s="153">
        <f t="shared" si="2"/>
        <v>207796.78068410463</v>
      </c>
      <c r="H59" s="154">
        <f t="shared" si="3"/>
        <v>7276396.7806841042</v>
      </c>
      <c r="I59" s="155">
        <f t="shared" si="5"/>
        <v>73017611.267605633</v>
      </c>
    </row>
    <row r="60" spans="2:9" x14ac:dyDescent="0.25">
      <c r="B60" s="181">
        <v>28</v>
      </c>
      <c r="C60" s="144">
        <f t="shared" si="0"/>
        <v>99342.465753424651</v>
      </c>
      <c r="D60" s="148">
        <f t="shared" si="4"/>
        <v>1090082.1917808219</v>
      </c>
      <c r="F60" s="151">
        <f t="shared" si="1"/>
        <v>7569955.555555556</v>
      </c>
      <c r="G60" s="153">
        <f t="shared" si="2"/>
        <v>222535.21126760566</v>
      </c>
      <c r="H60" s="154">
        <f t="shared" si="3"/>
        <v>7792490.7668231614</v>
      </c>
      <c r="I60" s="155">
        <f t="shared" si="5"/>
        <v>80810102.03442879</v>
      </c>
    </row>
    <row r="61" spans="2:9" x14ac:dyDescent="0.25">
      <c r="B61" s="181">
        <v>29</v>
      </c>
      <c r="C61" s="144">
        <f t="shared" si="0"/>
        <v>105671.23287671234</v>
      </c>
      <c r="D61" s="148">
        <f t="shared" si="4"/>
        <v>1195753.4246575343</v>
      </c>
      <c r="F61" s="151">
        <f>$I$10*(G$19*$B61+G$20*$B61)*(1+G$20*$B61/(2*G$21))</f>
        <v>8088422.222222222</v>
      </c>
      <c r="G61" s="153">
        <f t="shared" si="2"/>
        <v>237776.65995975852</v>
      </c>
      <c r="H61" s="154">
        <f t="shared" si="3"/>
        <v>8326198.8821819806</v>
      </c>
      <c r="I61" s="155">
        <f t="shared" si="5"/>
        <v>89136300.916610777</v>
      </c>
    </row>
    <row r="62" spans="2:9" x14ac:dyDescent="0.25">
      <c r="B62" s="184">
        <v>30</v>
      </c>
      <c r="C62" s="159">
        <f t="shared" si="0"/>
        <v>112191.78082191781</v>
      </c>
      <c r="D62" s="150">
        <f t="shared" si="4"/>
        <v>1307945.2054794522</v>
      </c>
      <c r="F62" s="152">
        <f t="shared" si="1"/>
        <v>8624000</v>
      </c>
      <c r="G62" s="156">
        <f t="shared" si="2"/>
        <v>253521.12676056341</v>
      </c>
      <c r="H62" s="157">
        <f t="shared" si="3"/>
        <v>8877521.1267605629</v>
      </c>
      <c r="I62" s="158">
        <f t="shared" si="5"/>
        <v>98013822.043371335</v>
      </c>
    </row>
    <row r="63" spans="2:9" x14ac:dyDescent="0.25">
      <c r="B63" s="181">
        <v>31</v>
      </c>
      <c r="C63" s="144">
        <f t="shared" si="0"/>
        <v>118904.10958904109</v>
      </c>
      <c r="D63" s="148">
        <f t="shared" ref="D63:D92" si="6">D62+C63</f>
        <v>1426849.3150684931</v>
      </c>
      <c r="F63" s="151">
        <f t="shared" ref="F63:F92" si="7">$I$10*(G$19*$B63+G$20*$B63)*(1+G$20*$B63/(2*G$21))</f>
        <v>9176688.8888888881</v>
      </c>
      <c r="G63" s="153">
        <f t="shared" si="2"/>
        <v>269768.61167002009</v>
      </c>
      <c r="H63" s="154">
        <f t="shared" ref="H63:H92" si="8">F63+G63</f>
        <v>9446457.500558909</v>
      </c>
      <c r="I63" s="155">
        <f t="shared" ref="I63:I92" si="9">I62+H63</f>
        <v>107460279.54393025</v>
      </c>
    </row>
    <row r="64" spans="2:9" x14ac:dyDescent="0.25">
      <c r="B64" s="181">
        <v>32</v>
      </c>
      <c r="C64" s="144">
        <f t="shared" si="0"/>
        <v>125808.21917808217</v>
      </c>
      <c r="D64" s="148">
        <f t="shared" si="6"/>
        <v>1552657.5342465753</v>
      </c>
      <c r="F64" s="151">
        <f t="shared" si="7"/>
        <v>9746488.8888888899</v>
      </c>
      <c r="G64" s="153">
        <f t="shared" si="2"/>
        <v>286519.11468812876</v>
      </c>
      <c r="H64" s="154">
        <f t="shared" si="8"/>
        <v>10033008.003577018</v>
      </c>
      <c r="I64" s="155">
        <f t="shared" si="9"/>
        <v>117493287.54750727</v>
      </c>
    </row>
    <row r="65" spans="2:9" x14ac:dyDescent="0.25">
      <c r="B65" s="181">
        <v>33</v>
      </c>
      <c r="C65" s="144">
        <f t="shared" si="0"/>
        <v>132904.10958904109</v>
      </c>
      <c r="D65" s="148">
        <f t="shared" si="6"/>
        <v>1685561.6438356163</v>
      </c>
      <c r="F65" s="151">
        <f t="shared" si="7"/>
        <v>10333400</v>
      </c>
      <c r="G65" s="153">
        <f t="shared" si="2"/>
        <v>303772.63581488933</v>
      </c>
      <c r="H65" s="154">
        <f t="shared" si="8"/>
        <v>10637172.63581489</v>
      </c>
      <c r="I65" s="155">
        <f t="shared" si="9"/>
        <v>128130460.18332216</v>
      </c>
    </row>
    <row r="66" spans="2:9" x14ac:dyDescent="0.25">
      <c r="B66" s="181">
        <v>34</v>
      </c>
      <c r="C66" s="144">
        <f t="shared" si="0"/>
        <v>140191.78082191784</v>
      </c>
      <c r="D66" s="148">
        <f t="shared" si="6"/>
        <v>1825753.4246575341</v>
      </c>
      <c r="F66" s="151">
        <f t="shared" si="7"/>
        <v>10937422.222222222</v>
      </c>
      <c r="G66" s="153">
        <f t="shared" si="2"/>
        <v>321529.17505030177</v>
      </c>
      <c r="H66" s="154">
        <f t="shared" si="8"/>
        <v>11258951.397272523</v>
      </c>
      <c r="I66" s="155">
        <f t="shared" si="9"/>
        <v>139389411.58059469</v>
      </c>
    </row>
    <row r="67" spans="2:9" x14ac:dyDescent="0.25">
      <c r="B67" s="181">
        <v>35</v>
      </c>
      <c r="C67" s="144">
        <f t="shared" si="0"/>
        <v>147671.23287671234</v>
      </c>
      <c r="D67" s="148">
        <f t="shared" si="6"/>
        <v>1973424.6575342463</v>
      </c>
      <c r="F67" s="151">
        <f t="shared" si="7"/>
        <v>11558555.555555554</v>
      </c>
      <c r="G67" s="153">
        <f t="shared" si="2"/>
        <v>339788.73239436618</v>
      </c>
      <c r="H67" s="154">
        <f t="shared" si="8"/>
        <v>11898344.28794992</v>
      </c>
      <c r="I67" s="155">
        <f t="shared" si="9"/>
        <v>151287755.86854461</v>
      </c>
    </row>
    <row r="68" spans="2:9" x14ac:dyDescent="0.25">
      <c r="B68" s="181">
        <v>36</v>
      </c>
      <c r="C68" s="144">
        <f t="shared" si="0"/>
        <v>155342.46575342465</v>
      </c>
      <c r="D68" s="148">
        <f t="shared" si="6"/>
        <v>2128767.1232876708</v>
      </c>
      <c r="F68" s="151">
        <f t="shared" si="7"/>
        <v>12196800</v>
      </c>
      <c r="G68" s="153">
        <f t="shared" si="2"/>
        <v>358551.30784708244</v>
      </c>
      <c r="H68" s="154">
        <f t="shared" si="8"/>
        <v>12555351.307847083</v>
      </c>
      <c r="I68" s="155">
        <f t="shared" si="9"/>
        <v>163843107.17639169</v>
      </c>
    </row>
    <row r="69" spans="2:9" x14ac:dyDescent="0.25">
      <c r="B69" s="181">
        <v>37</v>
      </c>
      <c r="C69" s="144">
        <f t="shared" si="0"/>
        <v>163205.4794520548</v>
      </c>
      <c r="D69" s="148">
        <f t="shared" si="6"/>
        <v>2291972.6027397257</v>
      </c>
      <c r="F69" s="152">
        <f t="shared" si="7"/>
        <v>12852155.555555554</v>
      </c>
      <c r="G69" s="156">
        <f t="shared" si="2"/>
        <v>377816.90140845068</v>
      </c>
      <c r="H69" s="157">
        <f t="shared" si="8"/>
        <v>13229972.456964005</v>
      </c>
      <c r="I69" s="158">
        <f t="shared" si="9"/>
        <v>177073079.63335571</v>
      </c>
    </row>
    <row r="70" spans="2:9" x14ac:dyDescent="0.25">
      <c r="B70" s="181">
        <v>38</v>
      </c>
      <c r="C70" s="144">
        <f t="shared" si="0"/>
        <v>171260.27397260274</v>
      </c>
      <c r="D70" s="148">
        <f t="shared" si="6"/>
        <v>2463232.8767123283</v>
      </c>
      <c r="F70" s="151">
        <f t="shared" si="7"/>
        <v>13524622.222222222</v>
      </c>
      <c r="G70" s="153">
        <f t="shared" si="2"/>
        <v>397585.51307847077</v>
      </c>
      <c r="H70" s="154">
        <f t="shared" si="8"/>
        <v>13922207.735300694</v>
      </c>
      <c r="I70" s="155">
        <f t="shared" si="9"/>
        <v>190995287.3686564</v>
      </c>
    </row>
    <row r="71" spans="2:9" x14ac:dyDescent="0.25">
      <c r="B71" s="184">
        <v>39</v>
      </c>
      <c r="C71" s="159">
        <f t="shared" si="0"/>
        <v>179506.84931506851</v>
      </c>
      <c r="D71" s="150">
        <f t="shared" si="6"/>
        <v>2642739.726027397</v>
      </c>
      <c r="F71" s="151">
        <f t="shared" si="7"/>
        <v>14214200</v>
      </c>
      <c r="G71" s="153">
        <f t="shared" si="2"/>
        <v>417857.1428571429</v>
      </c>
      <c r="H71" s="154">
        <f t="shared" si="8"/>
        <v>14632057.142857144</v>
      </c>
      <c r="I71" s="155">
        <f t="shared" si="9"/>
        <v>205627344.51151353</v>
      </c>
    </row>
    <row r="72" spans="2:9" x14ac:dyDescent="0.25">
      <c r="B72" s="181">
        <v>40</v>
      </c>
      <c r="C72" s="144">
        <f t="shared" si="0"/>
        <v>187945.20547945207</v>
      </c>
      <c r="D72" s="148">
        <f t="shared" si="6"/>
        <v>2830684.9315068489</v>
      </c>
      <c r="F72" s="151">
        <f t="shared" si="7"/>
        <v>14920888.888888888</v>
      </c>
      <c r="G72" s="153">
        <f t="shared" si="2"/>
        <v>438631.79074446677</v>
      </c>
      <c r="H72" s="154">
        <f t="shared" si="8"/>
        <v>15359520.679633355</v>
      </c>
      <c r="I72" s="155">
        <f t="shared" si="9"/>
        <v>220986865.19114688</v>
      </c>
    </row>
    <row r="73" spans="2:9" x14ac:dyDescent="0.25">
      <c r="B73" s="181">
        <v>41</v>
      </c>
      <c r="C73" s="144">
        <f t="shared" si="0"/>
        <v>196575.34246575349</v>
      </c>
      <c r="D73" s="148">
        <f t="shared" si="6"/>
        <v>3027260.2739726026</v>
      </c>
      <c r="F73" s="151">
        <f t="shared" si="7"/>
        <v>15644688.88888889</v>
      </c>
      <c r="G73" s="153">
        <f t="shared" si="2"/>
        <v>459909.45674044266</v>
      </c>
      <c r="H73" s="154">
        <f t="shared" si="8"/>
        <v>16104598.345629333</v>
      </c>
      <c r="I73" s="155">
        <f t="shared" si="9"/>
        <v>237091463.53677621</v>
      </c>
    </row>
    <row r="74" spans="2:9" x14ac:dyDescent="0.25">
      <c r="B74" s="181">
        <v>42</v>
      </c>
      <c r="C74" s="144">
        <f t="shared" si="0"/>
        <v>205397.26027397261</v>
      </c>
      <c r="D74" s="148">
        <f t="shared" si="6"/>
        <v>3232657.5342465751</v>
      </c>
      <c r="F74" s="151">
        <f t="shared" si="7"/>
        <v>16385600</v>
      </c>
      <c r="G74" s="153">
        <f t="shared" si="2"/>
        <v>481690.14084507036</v>
      </c>
      <c r="H74" s="154">
        <f t="shared" si="8"/>
        <v>16867290.140845072</v>
      </c>
      <c r="I74" s="155">
        <f t="shared" si="9"/>
        <v>253958753.67762128</v>
      </c>
    </row>
    <row r="75" spans="2:9" x14ac:dyDescent="0.25">
      <c r="B75" s="181">
        <v>43</v>
      </c>
      <c r="C75" s="144">
        <f t="shared" si="0"/>
        <v>214410.95890410958</v>
      </c>
      <c r="D75" s="148">
        <f t="shared" si="6"/>
        <v>3447068.4931506845</v>
      </c>
      <c r="F75" s="151">
        <f t="shared" si="7"/>
        <v>17143622.222222224</v>
      </c>
      <c r="G75" s="153">
        <f t="shared" si="2"/>
        <v>503973.84305835009</v>
      </c>
      <c r="H75" s="154">
        <f t="shared" si="8"/>
        <v>17647596.065280575</v>
      </c>
      <c r="I75" s="155">
        <f t="shared" si="9"/>
        <v>271606349.74290186</v>
      </c>
    </row>
    <row r="76" spans="2:9" x14ac:dyDescent="0.25">
      <c r="B76" s="181">
        <v>44</v>
      </c>
      <c r="C76" s="144">
        <f t="shared" si="0"/>
        <v>223616.43835616438</v>
      </c>
      <c r="D76" s="148">
        <f t="shared" si="6"/>
        <v>3670684.9315068489</v>
      </c>
      <c r="F76" s="152">
        <f t="shared" si="7"/>
        <v>17918755.555555556</v>
      </c>
      <c r="G76" s="156">
        <f t="shared" si="2"/>
        <v>526760.56338028167</v>
      </c>
      <c r="H76" s="157">
        <f t="shared" si="8"/>
        <v>18445516.118935838</v>
      </c>
      <c r="I76" s="158">
        <f t="shared" si="9"/>
        <v>290051865.86183769</v>
      </c>
    </row>
    <row r="77" spans="2:9" x14ac:dyDescent="0.25">
      <c r="B77" s="181">
        <v>45</v>
      </c>
      <c r="C77" s="144">
        <f t="shared" si="0"/>
        <v>233013.69863013696</v>
      </c>
      <c r="D77" s="148">
        <f t="shared" si="6"/>
        <v>3903698.6301369858</v>
      </c>
      <c r="F77" s="151">
        <f t="shared" si="7"/>
        <v>18711000</v>
      </c>
      <c r="G77" s="153">
        <f t="shared" si="2"/>
        <v>550050.30181086517</v>
      </c>
      <c r="H77" s="154">
        <f t="shared" si="8"/>
        <v>19261050.301810864</v>
      </c>
      <c r="I77" s="155">
        <f t="shared" si="9"/>
        <v>309312916.16364855</v>
      </c>
    </row>
    <row r="78" spans="2:9" x14ac:dyDescent="0.25">
      <c r="B78" s="181">
        <v>46</v>
      </c>
      <c r="C78" s="144">
        <f t="shared" si="0"/>
        <v>242602.73972602744</v>
      </c>
      <c r="D78" s="148">
        <f t="shared" si="6"/>
        <v>4146301.3698630133</v>
      </c>
      <c r="F78" s="151">
        <f t="shared" si="7"/>
        <v>19520355.555555556</v>
      </c>
      <c r="G78" s="153">
        <f t="shared" si="2"/>
        <v>573843.05835010053</v>
      </c>
      <c r="H78" s="154">
        <f t="shared" si="8"/>
        <v>20094198.613905657</v>
      </c>
      <c r="I78" s="155">
        <f t="shared" si="9"/>
        <v>329407114.77755421</v>
      </c>
    </row>
    <row r="79" spans="2:9" x14ac:dyDescent="0.25">
      <c r="B79" s="181">
        <v>47</v>
      </c>
      <c r="C79" s="144">
        <f t="shared" si="0"/>
        <v>252383.56164383559</v>
      </c>
      <c r="D79" s="148">
        <f t="shared" si="6"/>
        <v>4398684.9315068489</v>
      </c>
      <c r="F79" s="151">
        <f t="shared" si="7"/>
        <v>20346822.22222222</v>
      </c>
      <c r="G79" s="153">
        <f t="shared" si="2"/>
        <v>598138.83299798786</v>
      </c>
      <c r="H79" s="154">
        <f t="shared" si="8"/>
        <v>20944961.055220209</v>
      </c>
      <c r="I79" s="155">
        <f t="shared" si="9"/>
        <v>350352075.8327744</v>
      </c>
    </row>
    <row r="80" spans="2:9" x14ac:dyDescent="0.25">
      <c r="B80" s="184">
        <v>48</v>
      </c>
      <c r="C80" s="159">
        <f t="shared" si="0"/>
        <v>262356.16438356164</v>
      </c>
      <c r="D80" s="150">
        <f t="shared" si="6"/>
        <v>4661041.0958904102</v>
      </c>
      <c r="F80" s="151">
        <f t="shared" si="7"/>
        <v>21190400</v>
      </c>
      <c r="G80" s="153">
        <f t="shared" si="2"/>
        <v>622937.62575452705</v>
      </c>
      <c r="H80" s="154">
        <f t="shared" si="8"/>
        <v>21813337.625754528</v>
      </c>
      <c r="I80" s="155">
        <f t="shared" si="9"/>
        <v>372165413.45852894</v>
      </c>
    </row>
    <row r="81" spans="2:9" x14ac:dyDescent="0.25">
      <c r="B81" s="181">
        <v>49</v>
      </c>
      <c r="C81" s="144">
        <f t="shared" si="0"/>
        <v>272520.54794520547</v>
      </c>
      <c r="D81" s="148">
        <f t="shared" si="6"/>
        <v>4933561.6438356154</v>
      </c>
      <c r="F81" s="151">
        <f t="shared" si="7"/>
        <v>22051088.888888888</v>
      </c>
      <c r="G81" s="153">
        <f t="shared" si="2"/>
        <v>648239.43661971833</v>
      </c>
      <c r="H81" s="154">
        <f t="shared" si="8"/>
        <v>22699328.325508606</v>
      </c>
      <c r="I81" s="155">
        <f t="shared" si="9"/>
        <v>394864741.78403753</v>
      </c>
    </row>
    <row r="82" spans="2:9" x14ac:dyDescent="0.25">
      <c r="B82" s="181">
        <v>50</v>
      </c>
      <c r="C82" s="144">
        <f t="shared" si="0"/>
        <v>282876.71232876711</v>
      </c>
      <c r="D82" s="148">
        <f t="shared" si="6"/>
        <v>5216438.3561643828</v>
      </c>
      <c r="F82" s="151">
        <f t="shared" si="7"/>
        <v>22928888.888888888</v>
      </c>
      <c r="G82" s="153">
        <f t="shared" si="2"/>
        <v>674044.26559356134</v>
      </c>
      <c r="H82" s="154">
        <f t="shared" si="8"/>
        <v>23602933.15448245</v>
      </c>
      <c r="I82" s="155">
        <f t="shared" si="9"/>
        <v>418467674.93851995</v>
      </c>
    </row>
    <row r="83" spans="2:9" x14ac:dyDescent="0.25">
      <c r="B83" s="181">
        <v>51</v>
      </c>
      <c r="C83" s="144">
        <f t="shared" si="0"/>
        <v>293424.65753424662</v>
      </c>
      <c r="D83" s="148">
        <f t="shared" si="6"/>
        <v>5509863.0136986291</v>
      </c>
      <c r="F83" s="152">
        <f t="shared" si="7"/>
        <v>23823800</v>
      </c>
      <c r="G83" s="156">
        <f t="shared" si="2"/>
        <v>700352.11267605622</v>
      </c>
      <c r="H83" s="157">
        <f t="shared" si="8"/>
        <v>24524152.112676058</v>
      </c>
      <c r="I83" s="158">
        <f t="shared" si="9"/>
        <v>442991827.05119604</v>
      </c>
    </row>
    <row r="84" spans="2:9" x14ac:dyDescent="0.25">
      <c r="B84" s="181">
        <v>52</v>
      </c>
      <c r="C84" s="144">
        <f t="shared" si="0"/>
        <v>304164.38356164383</v>
      </c>
      <c r="D84" s="148">
        <f t="shared" si="6"/>
        <v>5814027.3972602729</v>
      </c>
      <c r="F84" s="151">
        <f t="shared" si="7"/>
        <v>24735822.222222224</v>
      </c>
      <c r="G84" s="153">
        <f t="shared" si="2"/>
        <v>727162.97786720318</v>
      </c>
      <c r="H84" s="154">
        <f t="shared" si="8"/>
        <v>25462985.200089429</v>
      </c>
      <c r="I84" s="155">
        <f t="shared" si="9"/>
        <v>468454812.25128549</v>
      </c>
    </row>
    <row r="85" spans="2:9" x14ac:dyDescent="0.25">
      <c r="B85" s="181">
        <v>53</v>
      </c>
      <c r="C85" s="144">
        <f t="shared" si="0"/>
        <v>315095.89041095896</v>
      </c>
      <c r="D85" s="148">
        <f t="shared" si="6"/>
        <v>6129123.2876712317</v>
      </c>
      <c r="F85" s="151">
        <f t="shared" si="7"/>
        <v>25664955.555555556</v>
      </c>
      <c r="G85" s="153">
        <f t="shared" si="2"/>
        <v>754476.861167002</v>
      </c>
      <c r="H85" s="154">
        <f t="shared" si="8"/>
        <v>26419432.416722558</v>
      </c>
      <c r="I85" s="155">
        <f t="shared" si="9"/>
        <v>494874244.66800803</v>
      </c>
    </row>
    <row r="86" spans="2:9" x14ac:dyDescent="0.25">
      <c r="B86" s="181">
        <v>54</v>
      </c>
      <c r="C86" s="144">
        <f t="shared" si="0"/>
        <v>326219.17808219173</v>
      </c>
      <c r="D86" s="148">
        <f t="shared" si="6"/>
        <v>6455342.4657534231</v>
      </c>
      <c r="F86" s="151">
        <f t="shared" si="7"/>
        <v>26611200</v>
      </c>
      <c r="G86" s="153">
        <f t="shared" si="2"/>
        <v>782293.76257545268</v>
      </c>
      <c r="H86" s="154">
        <f t="shared" si="8"/>
        <v>27393493.762575451</v>
      </c>
      <c r="I86" s="155">
        <f t="shared" si="9"/>
        <v>522267738.43058348</v>
      </c>
    </row>
    <row r="87" spans="2:9" x14ac:dyDescent="0.25">
      <c r="B87" s="181">
        <v>55</v>
      </c>
      <c r="C87" s="144">
        <f t="shared" si="0"/>
        <v>337534.24657534243</v>
      </c>
      <c r="D87" s="148">
        <f t="shared" si="6"/>
        <v>6792876.7123287655</v>
      </c>
      <c r="F87" s="151">
        <f t="shared" si="7"/>
        <v>27574555.555555556</v>
      </c>
      <c r="G87" s="153">
        <f t="shared" si="2"/>
        <v>810613.68209255533</v>
      </c>
      <c r="H87" s="154">
        <f t="shared" si="8"/>
        <v>28385169.237648111</v>
      </c>
      <c r="I87" s="155">
        <f t="shared" si="9"/>
        <v>550652907.66823161</v>
      </c>
    </row>
    <row r="88" spans="2:9" x14ac:dyDescent="0.25">
      <c r="B88" s="181">
        <v>56</v>
      </c>
      <c r="C88" s="144">
        <f t="shared" si="0"/>
        <v>349041.095890411</v>
      </c>
      <c r="D88" s="148">
        <f t="shared" si="6"/>
        <v>7141917.8082191767</v>
      </c>
      <c r="F88" s="151">
        <f t="shared" si="7"/>
        <v>28555022.222222224</v>
      </c>
      <c r="G88" s="153">
        <f t="shared" si="2"/>
        <v>839436.61971830996</v>
      </c>
      <c r="H88" s="154">
        <f t="shared" si="8"/>
        <v>29394458.841940533</v>
      </c>
      <c r="I88" s="155">
        <f t="shared" si="9"/>
        <v>580047366.51017213</v>
      </c>
    </row>
    <row r="89" spans="2:9" x14ac:dyDescent="0.25">
      <c r="B89" s="184">
        <v>57</v>
      </c>
      <c r="C89" s="159">
        <f t="shared" si="0"/>
        <v>360739.72602739721</v>
      </c>
      <c r="D89" s="150">
        <f t="shared" si="6"/>
        <v>7502657.5342465742</v>
      </c>
      <c r="F89" s="151">
        <f t="shared" si="7"/>
        <v>29552599.999999996</v>
      </c>
      <c r="G89" s="153">
        <f t="shared" si="2"/>
        <v>868762.57545271621</v>
      </c>
      <c r="H89" s="154">
        <f t="shared" si="8"/>
        <v>30421362.575452711</v>
      </c>
      <c r="I89" s="155">
        <f t="shared" si="9"/>
        <v>610468729.08562481</v>
      </c>
    </row>
    <row r="90" spans="2:9" x14ac:dyDescent="0.25">
      <c r="B90" s="181">
        <v>58</v>
      </c>
      <c r="C90" s="144">
        <f t="shared" si="0"/>
        <v>372630.1369863014</v>
      </c>
      <c r="D90" s="148">
        <f t="shared" si="6"/>
        <v>7875287.6712328754</v>
      </c>
      <c r="F90" s="152">
        <f t="shared" si="7"/>
        <v>30567288.888888888</v>
      </c>
      <c r="G90" s="156">
        <f t="shared" si="2"/>
        <v>898591.54929577454</v>
      </c>
      <c r="H90" s="157">
        <f t="shared" si="8"/>
        <v>31465880.438184664</v>
      </c>
      <c r="I90" s="158">
        <f t="shared" si="9"/>
        <v>641934609.52380943</v>
      </c>
    </row>
    <row r="91" spans="2:9" x14ac:dyDescent="0.25">
      <c r="B91" s="181">
        <v>59</v>
      </c>
      <c r="C91" s="144">
        <f t="shared" si="0"/>
        <v>384712.32876712322</v>
      </c>
      <c r="D91" s="148">
        <f t="shared" si="6"/>
        <v>8259999.9999999991</v>
      </c>
      <c r="F91" s="151">
        <f t="shared" si="7"/>
        <v>31599088.888888888</v>
      </c>
      <c r="G91" s="153">
        <f t="shared" si="2"/>
        <v>928923.54124748497</v>
      </c>
      <c r="H91" s="154">
        <f t="shared" si="8"/>
        <v>32528012.430136371</v>
      </c>
      <c r="I91" s="155">
        <f t="shared" si="9"/>
        <v>674462621.95394576</v>
      </c>
    </row>
    <row r="92" spans="2:9" x14ac:dyDescent="0.25">
      <c r="B92" s="181">
        <v>60</v>
      </c>
      <c r="C92" s="144">
        <f t="shared" si="0"/>
        <v>396986.30136986298</v>
      </c>
      <c r="D92" s="148">
        <f t="shared" si="6"/>
        <v>8656986.3013698626</v>
      </c>
      <c r="F92" s="151">
        <f t="shared" si="7"/>
        <v>32648000.000000004</v>
      </c>
      <c r="G92" s="153">
        <f t="shared" si="2"/>
        <v>959758.55130784714</v>
      </c>
      <c r="H92" s="154">
        <f t="shared" si="8"/>
        <v>33607758.55130785</v>
      </c>
      <c r="I92" s="155">
        <f t="shared" si="9"/>
        <v>708070380.50525355</v>
      </c>
    </row>
    <row r="93" spans="2:9" x14ac:dyDescent="0.25">
      <c r="B93" s="181">
        <v>61</v>
      </c>
      <c r="C93" s="144">
        <f t="shared" si="0"/>
        <v>409452.05479452061</v>
      </c>
      <c r="D93" s="148">
        <f t="shared" ref="D93:D156" si="10">D92+C93</f>
        <v>9066438.3561643828</v>
      </c>
      <c r="F93" s="151">
        <f t="shared" ref="F93:F156" si="11">$I$10*(G$19*$B93+G$20*$B93)*(1+G$20*$B93/(2*G$21))</f>
        <v>33714022.222222216</v>
      </c>
      <c r="G93" s="153">
        <f t="shared" si="2"/>
        <v>991096.57947686105</v>
      </c>
      <c r="H93" s="154">
        <f t="shared" ref="H93:H156" si="12">F93+G93</f>
        <v>34705118.80169908</v>
      </c>
      <c r="I93" s="155">
        <f t="shared" ref="I93:I156" si="13">I92+H93</f>
        <v>742775499.3069526</v>
      </c>
    </row>
    <row r="94" spans="2:9" x14ac:dyDescent="0.25">
      <c r="B94" s="181">
        <v>62</v>
      </c>
      <c r="C94" s="144">
        <f t="shared" si="0"/>
        <v>422109.58904109587</v>
      </c>
      <c r="D94" s="148">
        <f t="shared" si="10"/>
        <v>9488547.945205478</v>
      </c>
      <c r="F94" s="151">
        <f t="shared" si="11"/>
        <v>34797155.555555552</v>
      </c>
      <c r="G94" s="153">
        <f t="shared" si="2"/>
        <v>1022937.625754527</v>
      </c>
      <c r="H94" s="154">
        <f t="shared" si="12"/>
        <v>35820093.18131008</v>
      </c>
      <c r="I94" s="155">
        <f t="shared" si="13"/>
        <v>778595592.48826265</v>
      </c>
    </row>
    <row r="95" spans="2:9" x14ac:dyDescent="0.25">
      <c r="B95" s="181">
        <v>63</v>
      </c>
      <c r="C95" s="144">
        <f t="shared" si="0"/>
        <v>434958.90410958906</v>
      </c>
      <c r="D95" s="148">
        <f t="shared" si="10"/>
        <v>9923506.8493150678</v>
      </c>
      <c r="F95" s="151">
        <f t="shared" si="11"/>
        <v>35897400</v>
      </c>
      <c r="G95" s="153">
        <f t="shared" si="2"/>
        <v>1055281.690140845</v>
      </c>
      <c r="H95" s="154">
        <f t="shared" si="12"/>
        <v>36952681.690140843</v>
      </c>
      <c r="I95" s="155">
        <f t="shared" si="13"/>
        <v>815548274.1784035</v>
      </c>
    </row>
    <row r="96" spans="2:9" x14ac:dyDescent="0.25">
      <c r="B96" s="181">
        <v>64</v>
      </c>
      <c r="C96" s="144">
        <f t="shared" si="0"/>
        <v>447999.99999999994</v>
      </c>
      <c r="D96" s="148">
        <f t="shared" si="10"/>
        <v>10371506.849315068</v>
      </c>
      <c r="F96" s="151">
        <f t="shared" si="11"/>
        <v>37014755.55555556</v>
      </c>
      <c r="G96" s="153">
        <f t="shared" si="2"/>
        <v>1088128.772635815</v>
      </c>
      <c r="H96" s="154">
        <f t="shared" si="12"/>
        <v>38102884.328191377</v>
      </c>
      <c r="I96" s="155">
        <f t="shared" si="13"/>
        <v>853651158.5065949</v>
      </c>
    </row>
    <row r="97" spans="2:9" x14ac:dyDescent="0.25">
      <c r="B97" s="181">
        <v>65</v>
      </c>
      <c r="C97" s="144">
        <f t="shared" ref="C97:C160" si="14">((1-C$27)*C$26/C$22)*(C$19*$B97+C$20*$B97)*(1+C$20*$B97/(2*C$21))</f>
        <v>461232.87671232875</v>
      </c>
      <c r="D97" s="148">
        <f t="shared" si="10"/>
        <v>10832739.726027396</v>
      </c>
      <c r="F97" s="152">
        <f t="shared" si="11"/>
        <v>38149222.222222216</v>
      </c>
      <c r="G97" s="156">
        <f t="shared" ref="G97:G160" si="15">IF(((1-G$27)*G$26/G$22)*(G$19*$B97+G$20*$B97)*(1+G$20*$B97/(2*G$21))&gt;((1-G$27)*G$26),((1-G$27)*G$26),((1-G$27)*G$26/G$22)*(G$19*$B97+G$20*$B97)*(1+G$20*$B97/(2*G$21)))</f>
        <v>1121478.8732394364</v>
      </c>
      <c r="H97" s="157">
        <f t="shared" si="12"/>
        <v>39270701.095461652</v>
      </c>
      <c r="I97" s="158">
        <f t="shared" si="13"/>
        <v>892921859.6020565</v>
      </c>
    </row>
    <row r="98" spans="2:9" x14ac:dyDescent="0.25">
      <c r="B98" s="181">
        <v>66</v>
      </c>
      <c r="C98" s="144">
        <f t="shared" si="14"/>
        <v>474657.53424657538</v>
      </c>
      <c r="D98" s="148">
        <f t="shared" si="10"/>
        <v>11307397.260273971</v>
      </c>
      <c r="F98" s="151">
        <f t="shared" si="11"/>
        <v>39300800</v>
      </c>
      <c r="G98" s="153">
        <f t="shared" si="15"/>
        <v>1155331.9919517103</v>
      </c>
      <c r="H98" s="154">
        <f t="shared" si="12"/>
        <v>40456131.991951711</v>
      </c>
      <c r="I98" s="155">
        <f t="shared" si="13"/>
        <v>933377991.59400821</v>
      </c>
    </row>
    <row r="99" spans="2:9" x14ac:dyDescent="0.25">
      <c r="B99" s="181">
        <v>67</v>
      </c>
      <c r="C99" s="144">
        <f t="shared" si="14"/>
        <v>488273.9726027397</v>
      </c>
      <c r="D99" s="148">
        <f t="shared" si="10"/>
        <v>11795671.232876711</v>
      </c>
      <c r="F99" s="151">
        <f t="shared" si="11"/>
        <v>40469488.888888888</v>
      </c>
      <c r="G99" s="153">
        <f t="shared" si="15"/>
        <v>1189688.1287726357</v>
      </c>
      <c r="H99" s="154">
        <f t="shared" si="12"/>
        <v>41659177.017661527</v>
      </c>
      <c r="I99" s="155">
        <f t="shared" si="13"/>
        <v>975037168.61166978</v>
      </c>
    </row>
    <row r="100" spans="2:9" x14ac:dyDescent="0.25">
      <c r="B100" s="181">
        <v>68</v>
      </c>
      <c r="C100" s="144">
        <f t="shared" si="14"/>
        <v>502082.191780822</v>
      </c>
      <c r="D100" s="148">
        <f t="shared" si="10"/>
        <v>12297753.424657533</v>
      </c>
      <c r="F100" s="151">
        <f t="shared" si="11"/>
        <v>41655288.888888888</v>
      </c>
      <c r="G100" s="153">
        <f t="shared" si="15"/>
        <v>1224547.2837022133</v>
      </c>
      <c r="H100" s="154">
        <f t="shared" si="12"/>
        <v>42879836.172591105</v>
      </c>
      <c r="I100" s="155">
        <f t="shared" si="13"/>
        <v>1017917004.7842609</v>
      </c>
    </row>
    <row r="101" spans="2:9" x14ac:dyDescent="0.25">
      <c r="B101" s="184">
        <v>69</v>
      </c>
      <c r="C101" s="159">
        <f t="shared" si="14"/>
        <v>516082.19178082194</v>
      </c>
      <c r="D101" s="150">
        <f t="shared" si="10"/>
        <v>12813835.616438355</v>
      </c>
      <c r="F101" s="151">
        <f t="shared" si="11"/>
        <v>42858200</v>
      </c>
      <c r="G101" s="153">
        <f t="shared" si="15"/>
        <v>1259909.4567404427</v>
      </c>
      <c r="H101" s="154">
        <f t="shared" si="12"/>
        <v>44118109.456740439</v>
      </c>
      <c r="I101" s="155">
        <f t="shared" si="13"/>
        <v>1062035114.2410014</v>
      </c>
    </row>
    <row r="102" spans="2:9" x14ac:dyDescent="0.25">
      <c r="B102" s="181">
        <v>70</v>
      </c>
      <c r="C102" s="144">
        <f t="shared" si="14"/>
        <v>530273.97260273981</v>
      </c>
      <c r="D102" s="148">
        <f t="shared" si="10"/>
        <v>13344109.589041095</v>
      </c>
      <c r="F102" s="151">
        <f t="shared" si="11"/>
        <v>44078222.222222216</v>
      </c>
      <c r="G102" s="153">
        <f t="shared" si="15"/>
        <v>1295774.6478873238</v>
      </c>
      <c r="H102" s="154">
        <f t="shared" si="12"/>
        <v>45373996.870109543</v>
      </c>
      <c r="I102" s="155">
        <f t="shared" si="13"/>
        <v>1107409111.1111109</v>
      </c>
    </row>
    <row r="103" spans="2:9" x14ac:dyDescent="0.25">
      <c r="B103" s="181">
        <v>71</v>
      </c>
      <c r="C103" s="144">
        <f t="shared" si="14"/>
        <v>544657.53424657532</v>
      </c>
      <c r="D103" s="148">
        <f t="shared" si="10"/>
        <v>13888767.12328767</v>
      </c>
      <c r="F103" s="151">
        <f t="shared" si="11"/>
        <v>45315355.555555552</v>
      </c>
      <c r="G103" s="153">
        <f t="shared" si="15"/>
        <v>1332142.857142857</v>
      </c>
      <c r="H103" s="154">
        <f t="shared" si="12"/>
        <v>46647498.41269841</v>
      </c>
      <c r="I103" s="155">
        <f t="shared" si="13"/>
        <v>1154056609.5238094</v>
      </c>
    </row>
    <row r="104" spans="2:9" x14ac:dyDescent="0.25">
      <c r="B104" s="181">
        <v>72</v>
      </c>
      <c r="C104" s="144">
        <f t="shared" si="14"/>
        <v>559232.87671232875</v>
      </c>
      <c r="D104" s="148">
        <f t="shared" si="10"/>
        <v>14448000</v>
      </c>
      <c r="F104" s="152">
        <f t="shared" si="11"/>
        <v>46569600</v>
      </c>
      <c r="G104" s="156">
        <f t="shared" si="15"/>
        <v>1369014.0845070421</v>
      </c>
      <c r="H104" s="157">
        <f t="shared" si="12"/>
        <v>47938614.084507041</v>
      </c>
      <c r="I104" s="158">
        <f t="shared" si="13"/>
        <v>1201995223.6083164</v>
      </c>
    </row>
    <row r="105" spans="2:9" x14ac:dyDescent="0.25">
      <c r="B105" s="181">
        <v>73</v>
      </c>
      <c r="C105" s="144">
        <f t="shared" si="14"/>
        <v>574000.00000000012</v>
      </c>
      <c r="D105" s="148">
        <f t="shared" si="10"/>
        <v>15022000</v>
      </c>
      <c r="F105" s="151">
        <f t="shared" si="11"/>
        <v>47840955.55555556</v>
      </c>
      <c r="G105" s="153">
        <f t="shared" si="15"/>
        <v>1406388.3299798793</v>
      </c>
      <c r="H105" s="154">
        <f t="shared" si="12"/>
        <v>49247343.885535441</v>
      </c>
      <c r="I105" s="155">
        <f t="shared" si="13"/>
        <v>1251242567.4938519</v>
      </c>
    </row>
    <row r="106" spans="2:9" x14ac:dyDescent="0.25">
      <c r="B106" s="181">
        <v>74</v>
      </c>
      <c r="C106" s="144">
        <f t="shared" si="14"/>
        <v>588958.90410958906</v>
      </c>
      <c r="D106" s="148">
        <f t="shared" si="10"/>
        <v>15610958.90410959</v>
      </c>
      <c r="F106" s="151">
        <f t="shared" si="11"/>
        <v>49129422.222222216</v>
      </c>
      <c r="G106" s="153">
        <f t="shared" si="15"/>
        <v>1444265.5935613681</v>
      </c>
      <c r="H106" s="154">
        <f t="shared" si="12"/>
        <v>50573687.815783583</v>
      </c>
      <c r="I106" s="155">
        <f t="shared" si="13"/>
        <v>1301816255.3096354</v>
      </c>
    </row>
    <row r="107" spans="2:9" x14ac:dyDescent="0.25">
      <c r="B107" s="181">
        <v>75</v>
      </c>
      <c r="C107" s="144">
        <f t="shared" si="14"/>
        <v>604109.58904109593</v>
      </c>
      <c r="D107" s="148">
        <f t="shared" si="10"/>
        <v>16215068.493150685</v>
      </c>
      <c r="F107" s="151">
        <f t="shared" si="11"/>
        <v>50435000</v>
      </c>
      <c r="G107" s="153">
        <f t="shared" si="15"/>
        <v>1482645.8752515088</v>
      </c>
      <c r="H107" s="154">
        <f t="shared" si="12"/>
        <v>51917645.875251509</v>
      </c>
      <c r="I107" s="155">
        <f t="shared" si="13"/>
        <v>1353733901.1848869</v>
      </c>
    </row>
    <row r="108" spans="2:9" x14ac:dyDescent="0.25">
      <c r="B108" s="181">
        <v>76</v>
      </c>
      <c r="C108" s="144">
        <f t="shared" si="14"/>
        <v>619452.05479452061</v>
      </c>
      <c r="D108" s="148">
        <f t="shared" si="10"/>
        <v>16834520.547945205</v>
      </c>
      <c r="F108" s="151">
        <f t="shared" si="11"/>
        <v>51757688.888888888</v>
      </c>
      <c r="G108" s="153">
        <f t="shared" si="15"/>
        <v>1521529.1750503017</v>
      </c>
      <c r="H108" s="154">
        <f t="shared" si="12"/>
        <v>53279218.063939191</v>
      </c>
      <c r="I108" s="155">
        <f t="shared" si="13"/>
        <v>1407013119.248826</v>
      </c>
    </row>
    <row r="109" spans="2:9" x14ac:dyDescent="0.25">
      <c r="B109" s="181">
        <v>77</v>
      </c>
      <c r="C109" s="144">
        <f t="shared" si="14"/>
        <v>634986.30136986298</v>
      </c>
      <c r="D109" s="148">
        <f t="shared" si="10"/>
        <v>17469506.84931507</v>
      </c>
      <c r="F109" s="151">
        <f t="shared" si="11"/>
        <v>53097488.888888888</v>
      </c>
      <c r="G109" s="153">
        <f t="shared" si="15"/>
        <v>1560915.4929577464</v>
      </c>
      <c r="H109" s="154">
        <f t="shared" si="12"/>
        <v>54658404.381846637</v>
      </c>
      <c r="I109" s="155">
        <f t="shared" si="13"/>
        <v>1461671523.6306727</v>
      </c>
    </row>
    <row r="110" spans="2:9" x14ac:dyDescent="0.25">
      <c r="B110" s="184">
        <v>78</v>
      </c>
      <c r="C110" s="159">
        <f t="shared" si="14"/>
        <v>650712.3287671234</v>
      </c>
      <c r="D110" s="150">
        <f t="shared" si="10"/>
        <v>18120219.178082194</v>
      </c>
      <c r="F110" s="151">
        <f t="shared" si="11"/>
        <v>54454400</v>
      </c>
      <c r="G110" s="153">
        <f t="shared" si="15"/>
        <v>1600804.8289738433</v>
      </c>
      <c r="H110" s="154">
        <f t="shared" si="12"/>
        <v>56055204.828973845</v>
      </c>
      <c r="I110" s="155">
        <f t="shared" si="13"/>
        <v>1517726728.4596465</v>
      </c>
    </row>
    <row r="111" spans="2:9" x14ac:dyDescent="0.25">
      <c r="B111" s="181">
        <v>79</v>
      </c>
      <c r="C111" s="144">
        <f t="shared" si="14"/>
        <v>666630.1369863014</v>
      </c>
      <c r="D111" s="148">
        <f t="shared" si="10"/>
        <v>18786849.315068495</v>
      </c>
      <c r="F111" s="152">
        <f t="shared" si="11"/>
        <v>55828422.222222216</v>
      </c>
      <c r="G111" s="156">
        <f t="shared" si="15"/>
        <v>1641197.1830985914</v>
      </c>
      <c r="H111" s="157">
        <f t="shared" si="12"/>
        <v>57469619.405320808</v>
      </c>
      <c r="I111" s="158">
        <f t="shared" si="13"/>
        <v>1575196347.8649673</v>
      </c>
    </row>
    <row r="112" spans="2:9" x14ac:dyDescent="0.25">
      <c r="B112" s="181">
        <v>80</v>
      </c>
      <c r="C112" s="144">
        <f t="shared" si="14"/>
        <v>682739.72602739732</v>
      </c>
      <c r="D112" s="148">
        <f t="shared" si="10"/>
        <v>19469589.04109589</v>
      </c>
      <c r="F112" s="151">
        <f t="shared" si="11"/>
        <v>57219555.555555552</v>
      </c>
      <c r="G112" s="153">
        <f t="shared" si="15"/>
        <v>1682092.555331992</v>
      </c>
      <c r="H112" s="154">
        <f t="shared" si="12"/>
        <v>58901648.110887542</v>
      </c>
      <c r="I112" s="155">
        <f t="shared" si="13"/>
        <v>1634097995.9758549</v>
      </c>
    </row>
    <row r="113" spans="2:9" x14ac:dyDescent="0.25">
      <c r="B113" s="181">
        <v>81</v>
      </c>
      <c r="C113" s="144">
        <f t="shared" si="14"/>
        <v>699041.09589041094</v>
      </c>
      <c r="D113" s="148">
        <f t="shared" si="10"/>
        <v>20168630.1369863</v>
      </c>
      <c r="F113" s="151">
        <f t="shared" si="11"/>
        <v>58627800</v>
      </c>
      <c r="G113" s="153">
        <f t="shared" si="15"/>
        <v>1723490.9456740441</v>
      </c>
      <c r="H113" s="154">
        <f t="shared" si="12"/>
        <v>60351290.945674047</v>
      </c>
      <c r="I113" s="155">
        <f t="shared" si="13"/>
        <v>1694449286.9215288</v>
      </c>
    </row>
    <row r="114" spans="2:9" x14ac:dyDescent="0.25">
      <c r="B114" s="181">
        <v>82</v>
      </c>
      <c r="C114" s="144">
        <f t="shared" si="14"/>
        <v>715534.24657534272</v>
      </c>
      <c r="D114" s="148">
        <f t="shared" si="10"/>
        <v>20884164.383561645</v>
      </c>
      <c r="F114" s="151">
        <f t="shared" si="11"/>
        <v>60053155.55555556</v>
      </c>
      <c r="G114" s="153">
        <f t="shared" si="15"/>
        <v>1765392.3541247484</v>
      </c>
      <c r="H114" s="154">
        <f t="shared" si="12"/>
        <v>61818547.909680307</v>
      </c>
      <c r="I114" s="155">
        <f t="shared" si="13"/>
        <v>1756267834.8312092</v>
      </c>
    </row>
    <row r="115" spans="2:9" x14ac:dyDescent="0.25">
      <c r="B115" s="181">
        <v>83</v>
      </c>
      <c r="C115" s="144">
        <f t="shared" si="14"/>
        <v>732219.17808219185</v>
      </c>
      <c r="D115" s="148">
        <f t="shared" si="10"/>
        <v>21616383.561643835</v>
      </c>
      <c r="F115" s="151">
        <f t="shared" si="11"/>
        <v>61495622.222222216</v>
      </c>
      <c r="G115" s="153">
        <f t="shared" si="15"/>
        <v>1807796.7806841042</v>
      </c>
      <c r="H115" s="154">
        <f t="shared" si="12"/>
        <v>63303419.002906322</v>
      </c>
      <c r="I115" s="155">
        <f t="shared" si="13"/>
        <v>1819571253.8341155</v>
      </c>
    </row>
    <row r="116" spans="2:9" x14ac:dyDescent="0.25">
      <c r="B116" s="181">
        <v>84</v>
      </c>
      <c r="C116" s="144">
        <f t="shared" si="14"/>
        <v>749095.89041095891</v>
      </c>
      <c r="D116" s="148">
        <f t="shared" si="10"/>
        <v>22365479.452054795</v>
      </c>
      <c r="F116" s="151">
        <f t="shared" si="11"/>
        <v>62955200</v>
      </c>
      <c r="G116" s="153">
        <f t="shared" si="15"/>
        <v>1850704.2253521124</v>
      </c>
      <c r="H116" s="154">
        <f t="shared" si="12"/>
        <v>64805904.225352116</v>
      </c>
      <c r="I116" s="155">
        <f t="shared" si="13"/>
        <v>1884377158.0594676</v>
      </c>
    </row>
    <row r="117" spans="2:9" x14ac:dyDescent="0.25">
      <c r="B117" s="181">
        <v>85</v>
      </c>
      <c r="C117" s="144">
        <f t="shared" si="14"/>
        <v>766164.38356164377</v>
      </c>
      <c r="D117" s="148">
        <f t="shared" si="10"/>
        <v>23131643.83561644</v>
      </c>
      <c r="F117" s="151">
        <f t="shared" si="11"/>
        <v>64431888.888888888</v>
      </c>
      <c r="G117" s="153">
        <f t="shared" si="15"/>
        <v>1894114.6881287727</v>
      </c>
      <c r="H117" s="154">
        <f t="shared" si="12"/>
        <v>66326003.577017657</v>
      </c>
      <c r="I117" s="155">
        <f t="shared" si="13"/>
        <v>1950703161.6364851</v>
      </c>
    </row>
    <row r="118" spans="2:9" x14ac:dyDescent="0.25">
      <c r="B118" s="181">
        <v>86</v>
      </c>
      <c r="C118" s="144">
        <f t="shared" si="14"/>
        <v>783424.65753424657</v>
      </c>
      <c r="D118" s="148">
        <f t="shared" si="10"/>
        <v>23915068.493150685</v>
      </c>
      <c r="F118" s="152">
        <f t="shared" si="11"/>
        <v>65925688.888888888</v>
      </c>
      <c r="G118" s="156">
        <f t="shared" si="15"/>
        <v>1938028.1690140846</v>
      </c>
      <c r="H118" s="157">
        <f t="shared" si="12"/>
        <v>67863717.057902977</v>
      </c>
      <c r="I118" s="158">
        <f t="shared" si="13"/>
        <v>2018566878.6943882</v>
      </c>
    </row>
    <row r="119" spans="2:9" x14ac:dyDescent="0.25">
      <c r="B119" s="181">
        <v>87</v>
      </c>
      <c r="C119" s="144">
        <f t="shared" si="14"/>
        <v>800876.71232876729</v>
      </c>
      <c r="D119" s="148">
        <f t="shared" si="10"/>
        <v>24715945.205479451</v>
      </c>
      <c r="F119" s="151">
        <f t="shared" si="11"/>
        <v>67436600</v>
      </c>
      <c r="G119" s="153">
        <f t="shared" si="15"/>
        <v>1982444.6680080481</v>
      </c>
      <c r="H119" s="154">
        <f t="shared" si="12"/>
        <v>69419044.668008044</v>
      </c>
      <c r="I119" s="155">
        <f t="shared" si="13"/>
        <v>2087985923.3623962</v>
      </c>
    </row>
    <row r="120" spans="2:9" x14ac:dyDescent="0.25">
      <c r="B120" s="181">
        <v>88</v>
      </c>
      <c r="C120" s="144">
        <f t="shared" si="14"/>
        <v>818520.54794520547</v>
      </c>
      <c r="D120" s="148">
        <f t="shared" si="10"/>
        <v>25534465.753424656</v>
      </c>
      <c r="F120" s="151">
        <f t="shared" si="11"/>
        <v>68964622.222222224</v>
      </c>
      <c r="G120" s="153">
        <f t="shared" si="15"/>
        <v>2027364.1851106638</v>
      </c>
      <c r="H120" s="154">
        <f t="shared" si="12"/>
        <v>70991986.407332882</v>
      </c>
      <c r="I120" s="155">
        <f t="shared" si="13"/>
        <v>2158977909.7697291</v>
      </c>
    </row>
    <row r="121" spans="2:9" x14ac:dyDescent="0.25">
      <c r="B121" s="181">
        <v>89</v>
      </c>
      <c r="C121" s="144">
        <f t="shared" si="14"/>
        <v>836356.16438356158</v>
      </c>
      <c r="D121" s="148">
        <f t="shared" si="10"/>
        <v>26370821.917808216</v>
      </c>
      <c r="F121" s="151">
        <f t="shared" si="11"/>
        <v>70509755.555555552</v>
      </c>
      <c r="G121" s="153">
        <f t="shared" si="15"/>
        <v>2072786.7203219314</v>
      </c>
      <c r="H121" s="154">
        <f t="shared" si="12"/>
        <v>72582542.275877491</v>
      </c>
      <c r="I121" s="155">
        <f t="shared" si="13"/>
        <v>2231560452.0456066</v>
      </c>
    </row>
    <row r="122" spans="2:9" x14ac:dyDescent="0.25">
      <c r="B122" s="184">
        <v>90</v>
      </c>
      <c r="C122" s="159">
        <f t="shared" si="14"/>
        <v>854383.56164383562</v>
      </c>
      <c r="D122" s="150">
        <f t="shared" si="10"/>
        <v>27225205.479452051</v>
      </c>
      <c r="F122" s="151">
        <f t="shared" si="11"/>
        <v>72072000</v>
      </c>
      <c r="G122" s="153">
        <f t="shared" si="15"/>
        <v>2118712.2736418508</v>
      </c>
      <c r="H122" s="154">
        <f t="shared" si="12"/>
        <v>74190712.273641855</v>
      </c>
      <c r="I122" s="155">
        <f t="shared" si="13"/>
        <v>2305751164.3192487</v>
      </c>
    </row>
    <row r="123" spans="2:9" x14ac:dyDescent="0.25">
      <c r="B123" s="181">
        <v>91</v>
      </c>
      <c r="C123" s="144">
        <f t="shared" si="14"/>
        <v>872602.73972602736</v>
      </c>
      <c r="D123" s="148">
        <f t="shared" si="10"/>
        <v>28097808.219178077</v>
      </c>
      <c r="F123" s="151">
        <f t="shared" si="11"/>
        <v>73651355.555555552</v>
      </c>
      <c r="G123" s="153">
        <f t="shared" si="15"/>
        <v>2165140.8450704226</v>
      </c>
      <c r="H123" s="154">
        <f t="shared" si="12"/>
        <v>75816496.400625974</v>
      </c>
      <c r="I123" s="155">
        <f t="shared" si="13"/>
        <v>2381567660.7198749</v>
      </c>
    </row>
    <row r="124" spans="2:9" x14ac:dyDescent="0.25">
      <c r="B124" s="181">
        <v>92</v>
      </c>
      <c r="C124" s="144">
        <f t="shared" si="14"/>
        <v>891013.69863013714</v>
      </c>
      <c r="D124" s="148">
        <f t="shared" si="10"/>
        <v>28988821.917808212</v>
      </c>
      <c r="F124" s="151">
        <f t="shared" si="11"/>
        <v>75247822.222222224</v>
      </c>
      <c r="G124" s="153">
        <f t="shared" si="15"/>
        <v>2212072.434607646</v>
      </c>
      <c r="H124" s="154">
        <f t="shared" si="12"/>
        <v>77459894.656829864</v>
      </c>
      <c r="I124" s="155">
        <f t="shared" si="13"/>
        <v>2459027555.3767047</v>
      </c>
    </row>
    <row r="125" spans="2:9" x14ac:dyDescent="0.25">
      <c r="B125" s="181">
        <v>93</v>
      </c>
      <c r="C125" s="144">
        <f t="shared" si="14"/>
        <v>909616.43835616438</v>
      </c>
      <c r="D125" s="148">
        <f t="shared" si="10"/>
        <v>29898438.356164377</v>
      </c>
      <c r="F125" s="152">
        <f t="shared" si="11"/>
        <v>76861400</v>
      </c>
      <c r="G125" s="156">
        <f t="shared" si="15"/>
        <v>2250000</v>
      </c>
      <c r="H125" s="157">
        <f t="shared" si="12"/>
        <v>79111400</v>
      </c>
      <c r="I125" s="158">
        <f t="shared" si="13"/>
        <v>2538138955.3767047</v>
      </c>
    </row>
    <row r="126" spans="2:9" x14ac:dyDescent="0.25">
      <c r="B126" s="181">
        <v>94</v>
      </c>
      <c r="C126" s="144">
        <f t="shared" si="14"/>
        <v>928410.95890410955</v>
      </c>
      <c r="D126" s="148">
        <f t="shared" si="10"/>
        <v>30826849.315068487</v>
      </c>
      <c r="F126" s="151">
        <f t="shared" si="11"/>
        <v>78492088.888888881</v>
      </c>
      <c r="G126" s="153">
        <f t="shared" si="15"/>
        <v>2250000</v>
      </c>
      <c r="H126" s="154">
        <f t="shared" si="12"/>
        <v>80742088.888888881</v>
      </c>
      <c r="I126" s="155">
        <f t="shared" si="13"/>
        <v>2618881044.2655935</v>
      </c>
    </row>
    <row r="127" spans="2:9" x14ac:dyDescent="0.25">
      <c r="B127" s="181">
        <v>95</v>
      </c>
      <c r="C127" s="144">
        <f t="shared" si="14"/>
        <v>947397.26027397253</v>
      </c>
      <c r="D127" s="148">
        <f t="shared" si="10"/>
        <v>31774246.575342461</v>
      </c>
      <c r="F127" s="151">
        <f t="shared" si="11"/>
        <v>80139888.888888896</v>
      </c>
      <c r="G127" s="153">
        <f t="shared" si="15"/>
        <v>2250000</v>
      </c>
      <c r="H127" s="154">
        <f t="shared" si="12"/>
        <v>82389888.888888896</v>
      </c>
      <c r="I127" s="155">
        <f t="shared" si="13"/>
        <v>2701270933.1544824</v>
      </c>
    </row>
    <row r="128" spans="2:9" x14ac:dyDescent="0.25">
      <c r="B128" s="181">
        <v>96</v>
      </c>
      <c r="C128" s="144">
        <f t="shared" si="14"/>
        <v>966575.34246575343</v>
      </c>
      <c r="D128" s="148">
        <f t="shared" si="10"/>
        <v>32740821.917808216</v>
      </c>
      <c r="F128" s="151">
        <f t="shared" si="11"/>
        <v>81804800</v>
      </c>
      <c r="G128" s="153">
        <f t="shared" si="15"/>
        <v>2250000</v>
      </c>
      <c r="H128" s="154">
        <f t="shared" si="12"/>
        <v>84054800</v>
      </c>
      <c r="I128" s="155">
        <f t="shared" si="13"/>
        <v>2785325733.1544824</v>
      </c>
    </row>
    <row r="129" spans="2:9" x14ac:dyDescent="0.25">
      <c r="B129" s="181">
        <v>97</v>
      </c>
      <c r="C129" s="144">
        <f t="shared" si="14"/>
        <v>985945.20547945227</v>
      </c>
      <c r="D129" s="148">
        <f t="shared" si="10"/>
        <v>33726767.12328767</v>
      </c>
      <c r="F129" s="151">
        <f t="shared" si="11"/>
        <v>83486822.222222224</v>
      </c>
      <c r="G129" s="153">
        <f t="shared" si="15"/>
        <v>2250000</v>
      </c>
      <c r="H129" s="154">
        <f t="shared" si="12"/>
        <v>85736822.222222224</v>
      </c>
      <c r="I129" s="155">
        <f t="shared" si="13"/>
        <v>2871062555.3767047</v>
      </c>
    </row>
    <row r="130" spans="2:9" x14ac:dyDescent="0.25">
      <c r="B130" s="181">
        <v>98</v>
      </c>
      <c r="C130" s="144">
        <f t="shared" si="14"/>
        <v>1005506.8493150685</v>
      </c>
      <c r="D130" s="148">
        <f t="shared" si="10"/>
        <v>34732273.97260274</v>
      </c>
      <c r="F130" s="151">
        <f t="shared" si="11"/>
        <v>85185955.555555552</v>
      </c>
      <c r="G130" s="153">
        <f t="shared" si="15"/>
        <v>2250000</v>
      </c>
      <c r="H130" s="154">
        <f t="shared" si="12"/>
        <v>87435955.555555552</v>
      </c>
      <c r="I130" s="155">
        <f t="shared" si="13"/>
        <v>2958498510.93226</v>
      </c>
    </row>
    <row r="131" spans="2:9" x14ac:dyDescent="0.25">
      <c r="B131" s="184">
        <v>99</v>
      </c>
      <c r="C131" s="159">
        <f t="shared" si="14"/>
        <v>1025260.2739726027</v>
      </c>
      <c r="D131" s="150">
        <f t="shared" si="10"/>
        <v>35757534.246575341</v>
      </c>
      <c r="F131" s="151">
        <f t="shared" si="11"/>
        <v>86902200</v>
      </c>
      <c r="G131" s="153">
        <f t="shared" si="15"/>
        <v>2250000</v>
      </c>
      <c r="H131" s="154">
        <f t="shared" si="12"/>
        <v>89152200</v>
      </c>
      <c r="I131" s="155">
        <f t="shared" si="13"/>
        <v>3047650710.93226</v>
      </c>
    </row>
    <row r="132" spans="2:9" x14ac:dyDescent="0.25">
      <c r="B132" s="181">
        <v>100</v>
      </c>
      <c r="C132" s="144">
        <f t="shared" si="14"/>
        <v>1045205.4794520547</v>
      </c>
      <c r="D132" s="148">
        <f t="shared" si="10"/>
        <v>36802739.726027392</v>
      </c>
      <c r="F132" s="152">
        <f t="shared" si="11"/>
        <v>88635555.555555552</v>
      </c>
      <c r="G132" s="156">
        <f t="shared" si="15"/>
        <v>2250000</v>
      </c>
      <c r="H132" s="157">
        <f t="shared" si="12"/>
        <v>90885555.555555552</v>
      </c>
      <c r="I132" s="158">
        <f t="shared" si="13"/>
        <v>3138536266.4878154</v>
      </c>
    </row>
    <row r="133" spans="2:9" x14ac:dyDescent="0.25">
      <c r="B133" s="181">
        <v>101</v>
      </c>
      <c r="C133" s="144">
        <f t="shared" si="14"/>
        <v>1065342.4657534249</v>
      </c>
      <c r="D133" s="148">
        <f t="shared" si="10"/>
        <v>37868082.19178082</v>
      </c>
      <c r="F133" s="151">
        <f t="shared" si="11"/>
        <v>90386022.222222209</v>
      </c>
      <c r="G133" s="153">
        <f t="shared" si="15"/>
        <v>2250000</v>
      </c>
      <c r="H133" s="154">
        <f t="shared" si="12"/>
        <v>92636022.222222209</v>
      </c>
      <c r="I133" s="155">
        <f t="shared" si="13"/>
        <v>3231172288.7100377</v>
      </c>
    </row>
    <row r="134" spans="2:9" x14ac:dyDescent="0.25">
      <c r="B134" s="181">
        <v>102</v>
      </c>
      <c r="C134" s="144">
        <f t="shared" si="14"/>
        <v>1085671.2328767125</v>
      </c>
      <c r="D134" s="148">
        <f t="shared" si="10"/>
        <v>38953753.424657531</v>
      </c>
      <c r="F134" s="151">
        <f t="shared" si="11"/>
        <v>92153600</v>
      </c>
      <c r="G134" s="153">
        <f t="shared" si="15"/>
        <v>2250000</v>
      </c>
      <c r="H134" s="154">
        <f t="shared" si="12"/>
        <v>94403600</v>
      </c>
      <c r="I134" s="155">
        <f t="shared" si="13"/>
        <v>3325575888.7100377</v>
      </c>
    </row>
    <row r="135" spans="2:9" x14ac:dyDescent="0.25">
      <c r="B135" s="181">
        <v>103</v>
      </c>
      <c r="C135" s="144">
        <f t="shared" si="14"/>
        <v>1106191.7808219178</v>
      </c>
      <c r="D135" s="148">
        <f t="shared" si="10"/>
        <v>40059945.205479451</v>
      </c>
      <c r="F135" s="151">
        <f t="shared" si="11"/>
        <v>93938288.888888881</v>
      </c>
      <c r="G135" s="153">
        <f t="shared" si="15"/>
        <v>2250000</v>
      </c>
      <c r="H135" s="154">
        <f t="shared" si="12"/>
        <v>96188288.888888881</v>
      </c>
      <c r="I135" s="155">
        <f t="shared" si="13"/>
        <v>3421764177.5989265</v>
      </c>
    </row>
    <row r="136" spans="2:9" x14ac:dyDescent="0.25">
      <c r="B136" s="181">
        <v>104</v>
      </c>
      <c r="C136" s="144">
        <f t="shared" si="14"/>
        <v>1126904.109589041</v>
      </c>
      <c r="D136" s="148">
        <f t="shared" si="10"/>
        <v>41186849.315068491</v>
      </c>
      <c r="F136" s="151">
        <f t="shared" si="11"/>
        <v>95740088.888888896</v>
      </c>
      <c r="G136" s="153">
        <f t="shared" si="15"/>
        <v>2250000</v>
      </c>
      <c r="H136" s="154">
        <f t="shared" si="12"/>
        <v>97990088.888888896</v>
      </c>
      <c r="I136" s="155">
        <f t="shared" si="13"/>
        <v>3519754266.4878154</v>
      </c>
    </row>
    <row r="137" spans="2:9" x14ac:dyDescent="0.25">
      <c r="B137" s="181">
        <v>105</v>
      </c>
      <c r="C137" s="144">
        <f t="shared" si="14"/>
        <v>1147808.219178082</v>
      </c>
      <c r="D137" s="148">
        <f t="shared" si="10"/>
        <v>42334657.534246571</v>
      </c>
      <c r="F137" s="151">
        <f t="shared" si="11"/>
        <v>97558999.999999985</v>
      </c>
      <c r="G137" s="153">
        <f t="shared" si="15"/>
        <v>2250000</v>
      </c>
      <c r="H137" s="154">
        <f t="shared" si="12"/>
        <v>99808999.999999985</v>
      </c>
      <c r="I137" s="155">
        <f t="shared" si="13"/>
        <v>3619563266.4878154</v>
      </c>
    </row>
    <row r="138" spans="2:9" x14ac:dyDescent="0.25">
      <c r="B138" s="181">
        <v>106</v>
      </c>
      <c r="C138" s="144">
        <f t="shared" si="14"/>
        <v>1168904.1095890412</v>
      </c>
      <c r="D138" s="148">
        <f t="shared" si="10"/>
        <v>43503561.643835612</v>
      </c>
      <c r="F138" s="151">
        <f t="shared" si="11"/>
        <v>99395022.222222224</v>
      </c>
      <c r="G138" s="153">
        <f t="shared" si="15"/>
        <v>2250000</v>
      </c>
      <c r="H138" s="154">
        <f t="shared" si="12"/>
        <v>101645022.22222222</v>
      </c>
      <c r="I138" s="155">
        <f t="shared" si="13"/>
        <v>3721208288.7100377</v>
      </c>
    </row>
    <row r="139" spans="2:9" x14ac:dyDescent="0.25">
      <c r="B139" s="181">
        <v>107</v>
      </c>
      <c r="C139" s="144">
        <f t="shared" si="14"/>
        <v>1190191.780821918</v>
      </c>
      <c r="D139" s="148">
        <f t="shared" si="10"/>
        <v>44693753.424657531</v>
      </c>
      <c r="F139" s="152">
        <f t="shared" si="11"/>
        <v>101248155.55555555</v>
      </c>
      <c r="G139" s="156">
        <f t="shared" si="15"/>
        <v>2250000</v>
      </c>
      <c r="H139" s="157">
        <f t="shared" si="12"/>
        <v>103498155.55555555</v>
      </c>
      <c r="I139" s="158">
        <f t="shared" si="13"/>
        <v>3824706444.2655931</v>
      </c>
    </row>
    <row r="140" spans="2:9" x14ac:dyDescent="0.25">
      <c r="B140" s="181">
        <v>108</v>
      </c>
      <c r="C140" s="144">
        <f t="shared" si="14"/>
        <v>1211671.2328767122</v>
      </c>
      <c r="D140" s="148">
        <f t="shared" si="10"/>
        <v>45905424.657534242</v>
      </c>
      <c r="F140" s="151">
        <f t="shared" si="11"/>
        <v>103118400</v>
      </c>
      <c r="G140" s="153">
        <f t="shared" si="15"/>
        <v>2250000</v>
      </c>
      <c r="H140" s="154">
        <f t="shared" si="12"/>
        <v>105368400</v>
      </c>
      <c r="I140" s="155">
        <f t="shared" si="13"/>
        <v>3930074844.2655931</v>
      </c>
    </row>
    <row r="141" spans="2:9" x14ac:dyDescent="0.25">
      <c r="B141" s="181">
        <v>109</v>
      </c>
      <c r="C141" s="144">
        <f t="shared" si="14"/>
        <v>1233342.4657534244</v>
      </c>
      <c r="D141" s="148">
        <f t="shared" si="10"/>
        <v>47138767.123287663</v>
      </c>
      <c r="F141" s="151">
        <f t="shared" si="11"/>
        <v>105005755.55555555</v>
      </c>
      <c r="G141" s="153">
        <f t="shared" si="15"/>
        <v>2250000</v>
      </c>
      <c r="H141" s="154">
        <f t="shared" si="12"/>
        <v>107255755.55555555</v>
      </c>
      <c r="I141" s="155">
        <f t="shared" si="13"/>
        <v>4037330599.8211484</v>
      </c>
    </row>
    <row r="142" spans="2:9" x14ac:dyDescent="0.25">
      <c r="B142" s="181">
        <v>110</v>
      </c>
      <c r="C142" s="144">
        <f t="shared" si="14"/>
        <v>1255205.4794520547</v>
      </c>
      <c r="D142" s="148">
        <f t="shared" si="10"/>
        <v>48393972.602739714</v>
      </c>
      <c r="F142" s="151">
        <f t="shared" si="11"/>
        <v>106910222.22222221</v>
      </c>
      <c r="G142" s="153">
        <f t="shared" si="15"/>
        <v>2250000</v>
      </c>
      <c r="H142" s="154">
        <f t="shared" si="12"/>
        <v>109160222.22222221</v>
      </c>
      <c r="I142" s="155">
        <f t="shared" si="13"/>
        <v>4146490822.0433707</v>
      </c>
    </row>
    <row r="143" spans="2:9" x14ac:dyDescent="0.25">
      <c r="B143" s="184">
        <v>111</v>
      </c>
      <c r="C143" s="159">
        <f t="shared" si="14"/>
        <v>1277260.2739726028</v>
      </c>
      <c r="D143" s="150">
        <f t="shared" si="10"/>
        <v>49671232.876712315</v>
      </c>
      <c r="F143" s="151">
        <f t="shared" si="11"/>
        <v>108831800</v>
      </c>
      <c r="G143" s="153">
        <f t="shared" si="15"/>
        <v>2250000</v>
      </c>
      <c r="H143" s="154">
        <f t="shared" si="12"/>
        <v>111081800</v>
      </c>
      <c r="I143" s="155">
        <f t="shared" si="13"/>
        <v>4257572622.0433707</v>
      </c>
    </row>
    <row r="144" spans="2:9" x14ac:dyDescent="0.25">
      <c r="B144" s="181">
        <v>112</v>
      </c>
      <c r="C144" s="144">
        <f t="shared" si="14"/>
        <v>1299506.8493150687</v>
      </c>
      <c r="D144" s="148">
        <f t="shared" si="10"/>
        <v>50970739.726027384</v>
      </c>
      <c r="F144" s="151">
        <f t="shared" si="11"/>
        <v>110770488.8888889</v>
      </c>
      <c r="G144" s="153">
        <f t="shared" si="15"/>
        <v>2250000</v>
      </c>
      <c r="H144" s="154">
        <f t="shared" si="12"/>
        <v>113020488.8888889</v>
      </c>
      <c r="I144" s="155">
        <f t="shared" si="13"/>
        <v>4370593110.9322596</v>
      </c>
    </row>
    <row r="145" spans="2:9" x14ac:dyDescent="0.25">
      <c r="B145" s="181">
        <v>113</v>
      </c>
      <c r="C145" s="144">
        <f t="shared" si="14"/>
        <v>1321945.2054794519</v>
      </c>
      <c r="D145" s="148">
        <f t="shared" si="10"/>
        <v>52292684.931506835</v>
      </c>
      <c r="F145" s="151">
        <f t="shared" si="11"/>
        <v>112726288.88888888</v>
      </c>
      <c r="G145" s="153">
        <f t="shared" si="15"/>
        <v>2250000</v>
      </c>
      <c r="H145" s="154">
        <f t="shared" si="12"/>
        <v>114976288.88888888</v>
      </c>
      <c r="I145" s="155">
        <f t="shared" si="13"/>
        <v>4485569399.8211489</v>
      </c>
    </row>
    <row r="146" spans="2:9" x14ac:dyDescent="0.25">
      <c r="B146" s="181">
        <v>114</v>
      </c>
      <c r="C146" s="144">
        <f t="shared" si="14"/>
        <v>1344575.3424657532</v>
      </c>
      <c r="D146" s="148">
        <f t="shared" si="10"/>
        <v>53637260.273972586</v>
      </c>
      <c r="F146" s="152">
        <f t="shared" si="11"/>
        <v>114699199.99999999</v>
      </c>
      <c r="G146" s="156">
        <f t="shared" si="15"/>
        <v>2250000</v>
      </c>
      <c r="H146" s="157">
        <f t="shared" si="12"/>
        <v>116949199.99999999</v>
      </c>
      <c r="I146" s="158">
        <f t="shared" si="13"/>
        <v>4602518599.8211489</v>
      </c>
    </row>
    <row r="147" spans="2:9" x14ac:dyDescent="0.25">
      <c r="B147" s="181">
        <v>115</v>
      </c>
      <c r="C147" s="144">
        <f t="shared" si="14"/>
        <v>1367397.2602739723</v>
      </c>
      <c r="D147" s="148">
        <f t="shared" si="10"/>
        <v>55004657.534246556</v>
      </c>
      <c r="F147" s="151">
        <f t="shared" si="11"/>
        <v>116689222.22222222</v>
      </c>
      <c r="G147" s="153">
        <f t="shared" si="15"/>
        <v>2250000</v>
      </c>
      <c r="H147" s="154">
        <f t="shared" si="12"/>
        <v>118939222.22222222</v>
      </c>
      <c r="I147" s="155">
        <f t="shared" si="13"/>
        <v>4721457822.0433712</v>
      </c>
    </row>
    <row r="148" spans="2:9" x14ac:dyDescent="0.25">
      <c r="B148" s="181">
        <v>116</v>
      </c>
      <c r="C148" s="144">
        <f t="shared" si="14"/>
        <v>1390410.9589041097</v>
      </c>
      <c r="D148" s="148">
        <f t="shared" si="10"/>
        <v>56395068.493150666</v>
      </c>
      <c r="F148" s="151">
        <f t="shared" si="11"/>
        <v>118696355.55555555</v>
      </c>
      <c r="G148" s="153">
        <f t="shared" si="15"/>
        <v>2250000</v>
      </c>
      <c r="H148" s="154">
        <f t="shared" si="12"/>
        <v>120946355.55555555</v>
      </c>
      <c r="I148" s="155">
        <f t="shared" si="13"/>
        <v>4842404177.5989265</v>
      </c>
    </row>
    <row r="149" spans="2:9" x14ac:dyDescent="0.25">
      <c r="B149" s="181">
        <v>117</v>
      </c>
      <c r="C149" s="144">
        <f t="shared" si="14"/>
        <v>1413616.4383561644</v>
      </c>
      <c r="D149" s="148">
        <f t="shared" si="10"/>
        <v>57808684.931506827</v>
      </c>
      <c r="F149" s="151">
        <f t="shared" si="11"/>
        <v>120720600</v>
      </c>
      <c r="G149" s="153">
        <f t="shared" si="15"/>
        <v>2250000</v>
      </c>
      <c r="H149" s="154">
        <f t="shared" si="12"/>
        <v>122970600</v>
      </c>
      <c r="I149" s="155">
        <f t="shared" si="13"/>
        <v>4965374777.5989265</v>
      </c>
    </row>
    <row r="150" spans="2:9" x14ac:dyDescent="0.25">
      <c r="B150" s="181">
        <v>118</v>
      </c>
      <c r="C150" s="144">
        <f t="shared" si="14"/>
        <v>1437013.6986301369</v>
      </c>
      <c r="D150" s="148">
        <f t="shared" si="10"/>
        <v>59245698.630136967</v>
      </c>
      <c r="F150" s="151">
        <f t="shared" si="11"/>
        <v>122761955.55555555</v>
      </c>
      <c r="G150" s="153">
        <f t="shared" si="15"/>
        <v>2250000</v>
      </c>
      <c r="H150" s="154">
        <f t="shared" si="12"/>
        <v>125011955.55555555</v>
      </c>
      <c r="I150" s="155">
        <f t="shared" si="13"/>
        <v>5090386733.1544819</v>
      </c>
    </row>
    <row r="151" spans="2:9" x14ac:dyDescent="0.25">
      <c r="B151" s="181">
        <v>119</v>
      </c>
      <c r="C151" s="144">
        <f t="shared" si="14"/>
        <v>1460602.7397260272</v>
      </c>
      <c r="D151" s="148">
        <f t="shared" si="10"/>
        <v>60706301.369862996</v>
      </c>
      <c r="F151" s="151">
        <f t="shared" si="11"/>
        <v>124820422.22222222</v>
      </c>
      <c r="G151" s="153">
        <f t="shared" si="15"/>
        <v>2250000</v>
      </c>
      <c r="H151" s="154">
        <f t="shared" si="12"/>
        <v>127070422.22222222</v>
      </c>
      <c r="I151" s="155">
        <f t="shared" si="13"/>
        <v>5217457155.3767042</v>
      </c>
    </row>
    <row r="152" spans="2:9" x14ac:dyDescent="0.25">
      <c r="B152" s="184">
        <v>120</v>
      </c>
      <c r="C152" s="159">
        <f t="shared" si="14"/>
        <v>1484383.5616438356</v>
      </c>
      <c r="D152" s="150">
        <f t="shared" si="10"/>
        <v>62190684.931506835</v>
      </c>
      <c r="F152" s="151">
        <f t="shared" si="11"/>
        <v>126896000.00000001</v>
      </c>
      <c r="G152" s="153">
        <f t="shared" si="15"/>
        <v>2250000</v>
      </c>
      <c r="H152" s="154">
        <f t="shared" si="12"/>
        <v>129146000.00000001</v>
      </c>
      <c r="I152" s="155">
        <f t="shared" si="13"/>
        <v>5346603155.3767042</v>
      </c>
    </row>
    <row r="153" spans="2:9" x14ac:dyDescent="0.25">
      <c r="B153" s="181">
        <v>121</v>
      </c>
      <c r="C153" s="144">
        <f t="shared" si="14"/>
        <v>1508356.1643835618</v>
      </c>
      <c r="D153" s="148">
        <f t="shared" si="10"/>
        <v>63699041.095890395</v>
      </c>
      <c r="F153" s="152">
        <f t="shared" si="11"/>
        <v>128988688.88888888</v>
      </c>
      <c r="G153" s="156">
        <f t="shared" si="15"/>
        <v>2250000</v>
      </c>
      <c r="H153" s="157">
        <f t="shared" si="12"/>
        <v>131238688.88888888</v>
      </c>
      <c r="I153" s="158">
        <f t="shared" si="13"/>
        <v>5477841844.2655935</v>
      </c>
    </row>
    <row r="154" spans="2:9" x14ac:dyDescent="0.25">
      <c r="B154" s="181">
        <v>122</v>
      </c>
      <c r="C154" s="144">
        <f t="shared" si="14"/>
        <v>1532520.5479452058</v>
      </c>
      <c r="D154" s="148">
        <f t="shared" si="10"/>
        <v>65231561.643835604</v>
      </c>
      <c r="F154" s="151">
        <f t="shared" si="11"/>
        <v>131098488.88888888</v>
      </c>
      <c r="G154" s="153">
        <f t="shared" si="15"/>
        <v>2250000</v>
      </c>
      <c r="H154" s="154">
        <f t="shared" si="12"/>
        <v>133348488.88888888</v>
      </c>
      <c r="I154" s="155">
        <f t="shared" si="13"/>
        <v>5611190333.1544828</v>
      </c>
    </row>
    <row r="155" spans="2:9" x14ac:dyDescent="0.25">
      <c r="B155" s="181">
        <v>123</v>
      </c>
      <c r="C155" s="144">
        <f t="shared" si="14"/>
        <v>1556876.7123287672</v>
      </c>
      <c r="D155" s="148">
        <f t="shared" si="10"/>
        <v>66788438.356164373</v>
      </c>
      <c r="F155" s="151">
        <f t="shared" si="11"/>
        <v>133225399.99999999</v>
      </c>
      <c r="G155" s="153">
        <f t="shared" si="15"/>
        <v>2250000</v>
      </c>
      <c r="H155" s="154">
        <f t="shared" si="12"/>
        <v>135475400</v>
      </c>
      <c r="I155" s="155">
        <f t="shared" si="13"/>
        <v>5746665733.1544828</v>
      </c>
    </row>
    <row r="156" spans="2:9" x14ac:dyDescent="0.25">
      <c r="B156" s="181">
        <v>124</v>
      </c>
      <c r="C156" s="144">
        <f t="shared" si="14"/>
        <v>1581424.6575342466</v>
      </c>
      <c r="D156" s="148">
        <f t="shared" si="10"/>
        <v>68369863.013698623</v>
      </c>
      <c r="F156" s="151">
        <f t="shared" si="11"/>
        <v>135369422.22222221</v>
      </c>
      <c r="G156" s="153">
        <f t="shared" si="15"/>
        <v>2250000</v>
      </c>
      <c r="H156" s="154">
        <f t="shared" si="12"/>
        <v>137619422.22222221</v>
      </c>
      <c r="I156" s="155">
        <f t="shared" si="13"/>
        <v>5884285155.3767052</v>
      </c>
    </row>
    <row r="157" spans="2:9" x14ac:dyDescent="0.25">
      <c r="B157" s="181">
        <v>125</v>
      </c>
      <c r="C157" s="144">
        <f t="shared" si="14"/>
        <v>1606164.383561644</v>
      </c>
      <c r="D157" s="148">
        <f t="shared" ref="D157:D220" si="16">D156+C157</f>
        <v>69976027.397260264</v>
      </c>
      <c r="F157" s="151">
        <f t="shared" ref="F157:F220" si="17">$I$10*(G$19*$B157+G$20*$B157)*(1+G$20*$B157/(2*G$21))</f>
        <v>137530555.55555555</v>
      </c>
      <c r="G157" s="153">
        <f t="shared" si="15"/>
        <v>2250000</v>
      </c>
      <c r="H157" s="154">
        <f t="shared" ref="H157:H220" si="18">F157+G157</f>
        <v>139780555.55555555</v>
      </c>
      <c r="I157" s="155">
        <f t="shared" ref="I157:I220" si="19">I156+H157</f>
        <v>6024065710.9322605</v>
      </c>
    </row>
    <row r="158" spans="2:9" x14ac:dyDescent="0.25">
      <c r="B158" s="181">
        <v>126</v>
      </c>
      <c r="C158" s="144">
        <f t="shared" si="14"/>
        <v>1631095.8904109593</v>
      </c>
      <c r="D158" s="148">
        <f t="shared" si="16"/>
        <v>71607123.287671223</v>
      </c>
      <c r="F158" s="151">
        <f t="shared" si="17"/>
        <v>139708800</v>
      </c>
      <c r="G158" s="153">
        <f t="shared" si="15"/>
        <v>2250000</v>
      </c>
      <c r="H158" s="154">
        <f t="shared" si="18"/>
        <v>141958800</v>
      </c>
      <c r="I158" s="155">
        <f t="shared" si="19"/>
        <v>6166024510.9322605</v>
      </c>
    </row>
    <row r="159" spans="2:9" x14ac:dyDescent="0.25">
      <c r="B159" s="181">
        <v>127</v>
      </c>
      <c r="C159" s="144">
        <f t="shared" si="14"/>
        <v>1656219.1780821921</v>
      </c>
      <c r="D159" s="148">
        <f t="shared" si="16"/>
        <v>73263342.465753421</v>
      </c>
      <c r="F159" s="151">
        <f t="shared" si="17"/>
        <v>141904155.55555555</v>
      </c>
      <c r="G159" s="153">
        <f t="shared" si="15"/>
        <v>2250000</v>
      </c>
      <c r="H159" s="154">
        <f t="shared" si="18"/>
        <v>144154155.55555555</v>
      </c>
      <c r="I159" s="155">
        <f t="shared" si="19"/>
        <v>6310178666.4878159</v>
      </c>
    </row>
    <row r="160" spans="2:9" x14ac:dyDescent="0.25">
      <c r="B160" s="181">
        <v>128</v>
      </c>
      <c r="C160" s="144">
        <f t="shared" si="14"/>
        <v>1681534.2465753425</v>
      </c>
      <c r="D160" s="148">
        <f t="shared" si="16"/>
        <v>74944876.712328762</v>
      </c>
      <c r="F160" s="152">
        <f t="shared" si="17"/>
        <v>144116622.22222224</v>
      </c>
      <c r="G160" s="156">
        <f t="shared" si="15"/>
        <v>2250000</v>
      </c>
      <c r="H160" s="157">
        <f t="shared" si="18"/>
        <v>146366622.22222224</v>
      </c>
      <c r="I160" s="158">
        <f t="shared" si="19"/>
        <v>6456545288.7100382</v>
      </c>
    </row>
    <row r="161" spans="2:9" x14ac:dyDescent="0.25">
      <c r="B161" s="181">
        <v>129</v>
      </c>
      <c r="C161" s="144">
        <f t="shared" ref="C161:C224" si="20">((1-C$27)*C$26/C$22)*(C$19*$B161+C$20*$B161)*(1+C$20*$B161/(2*C$21))</f>
        <v>1707041.0958904109</v>
      </c>
      <c r="D161" s="148">
        <f t="shared" si="16"/>
        <v>76651917.80821918</v>
      </c>
      <c r="F161" s="151">
        <f t="shared" si="17"/>
        <v>146346200</v>
      </c>
      <c r="G161" s="153">
        <f t="shared" ref="G161:G224" si="21">IF(((1-G$27)*G$26/G$22)*(G$19*$B161+G$20*$B161)*(1+G$20*$B161/(2*G$21))&gt;((1-G$27)*G$26),((1-G$27)*G$26),((1-G$27)*G$26/G$22)*(G$19*$B161+G$20*$B161)*(1+G$20*$B161/(2*G$21)))</f>
        <v>2250000</v>
      </c>
      <c r="H161" s="154">
        <f t="shared" si="18"/>
        <v>148596200</v>
      </c>
      <c r="I161" s="155">
        <f t="shared" si="19"/>
        <v>6605141488.7100382</v>
      </c>
    </row>
    <row r="162" spans="2:9" x14ac:dyDescent="0.25">
      <c r="B162" s="181">
        <v>130</v>
      </c>
      <c r="C162" s="144">
        <f t="shared" si="20"/>
        <v>1732739.7260273974</v>
      </c>
      <c r="D162" s="148">
        <f t="shared" si="16"/>
        <v>78384657.534246579</v>
      </c>
      <c r="F162" s="151">
        <f t="shared" si="17"/>
        <v>148592888.88888887</v>
      </c>
      <c r="G162" s="153">
        <f t="shared" si="21"/>
        <v>2250000</v>
      </c>
      <c r="H162" s="154">
        <f t="shared" si="18"/>
        <v>150842888.88888887</v>
      </c>
      <c r="I162" s="155">
        <f t="shared" si="19"/>
        <v>6755984377.5989275</v>
      </c>
    </row>
    <row r="163" spans="2:9" x14ac:dyDescent="0.25">
      <c r="B163" s="181">
        <v>131</v>
      </c>
      <c r="C163" s="144">
        <f t="shared" si="20"/>
        <v>1758630.1369863015</v>
      </c>
      <c r="D163" s="148">
        <f t="shared" si="16"/>
        <v>80143287.671232879</v>
      </c>
      <c r="F163" s="151">
        <f t="shared" si="17"/>
        <v>150856688.88888887</v>
      </c>
      <c r="G163" s="153">
        <f t="shared" si="21"/>
        <v>2250000</v>
      </c>
      <c r="H163" s="154">
        <f t="shared" si="18"/>
        <v>153106688.88888887</v>
      </c>
      <c r="I163" s="155">
        <f t="shared" si="19"/>
        <v>6909091066.4878168</v>
      </c>
    </row>
    <row r="164" spans="2:9" x14ac:dyDescent="0.25">
      <c r="B164" s="184">
        <v>132</v>
      </c>
      <c r="C164" s="159">
        <f t="shared" si="20"/>
        <v>1784712.3287671234</v>
      </c>
      <c r="D164" s="150">
        <f t="shared" si="16"/>
        <v>81928000</v>
      </c>
      <c r="F164" s="151">
        <f t="shared" si="17"/>
        <v>153137600</v>
      </c>
      <c r="G164" s="153">
        <f t="shared" si="21"/>
        <v>2250000</v>
      </c>
      <c r="H164" s="154">
        <f t="shared" si="18"/>
        <v>155387600</v>
      </c>
      <c r="I164" s="155">
        <f t="shared" si="19"/>
        <v>7064478666.4878168</v>
      </c>
    </row>
    <row r="165" spans="2:9" x14ac:dyDescent="0.25">
      <c r="B165" s="181">
        <v>133</v>
      </c>
      <c r="C165" s="144">
        <f t="shared" si="20"/>
        <v>1810986.3013698629</v>
      </c>
      <c r="D165" s="148">
        <f t="shared" si="16"/>
        <v>83738986.301369861</v>
      </c>
      <c r="F165" s="151">
        <f t="shared" si="17"/>
        <v>155435622.22222221</v>
      </c>
      <c r="G165" s="153">
        <f t="shared" si="21"/>
        <v>2250000</v>
      </c>
      <c r="H165" s="154">
        <f t="shared" si="18"/>
        <v>157685622.22222221</v>
      </c>
      <c r="I165" s="155">
        <f t="shared" si="19"/>
        <v>7222164288.7100391</v>
      </c>
    </row>
    <row r="166" spans="2:9" x14ac:dyDescent="0.25">
      <c r="B166" s="181">
        <v>134</v>
      </c>
      <c r="C166" s="144">
        <f t="shared" si="20"/>
        <v>1837452.0547945204</v>
      </c>
      <c r="D166" s="148">
        <f t="shared" si="16"/>
        <v>85576438.356164381</v>
      </c>
      <c r="F166" s="151">
        <f t="shared" si="17"/>
        <v>157750755.55555555</v>
      </c>
      <c r="G166" s="153">
        <f t="shared" si="21"/>
        <v>2250000</v>
      </c>
      <c r="H166" s="154">
        <f t="shared" si="18"/>
        <v>160000755.55555555</v>
      </c>
      <c r="I166" s="155">
        <f t="shared" si="19"/>
        <v>7382165044.2655945</v>
      </c>
    </row>
    <row r="167" spans="2:9" x14ac:dyDescent="0.25">
      <c r="B167" s="181">
        <v>135</v>
      </c>
      <c r="C167" s="144">
        <f t="shared" si="20"/>
        <v>1864109.5890410959</v>
      </c>
      <c r="D167" s="148">
        <f t="shared" si="16"/>
        <v>87440547.94520548</v>
      </c>
      <c r="F167" s="152">
        <f t="shared" si="17"/>
        <v>160083000</v>
      </c>
      <c r="G167" s="156">
        <f t="shared" si="21"/>
        <v>2250000</v>
      </c>
      <c r="H167" s="157">
        <f t="shared" si="18"/>
        <v>162333000</v>
      </c>
      <c r="I167" s="158">
        <f t="shared" si="19"/>
        <v>7544498044.2655945</v>
      </c>
    </row>
    <row r="168" spans="2:9" x14ac:dyDescent="0.25">
      <c r="B168" s="181">
        <v>136</v>
      </c>
      <c r="C168" s="144">
        <f t="shared" si="20"/>
        <v>1890958.9041095895</v>
      </c>
      <c r="D168" s="148">
        <f t="shared" si="16"/>
        <v>89331506.849315062</v>
      </c>
      <c r="F168" s="151">
        <f t="shared" si="17"/>
        <v>162432355.55555555</v>
      </c>
      <c r="G168" s="153">
        <f t="shared" si="21"/>
        <v>2250000</v>
      </c>
      <c r="H168" s="154">
        <f t="shared" si="18"/>
        <v>164682355.55555555</v>
      </c>
      <c r="I168" s="155">
        <f t="shared" si="19"/>
        <v>7709180399.8211498</v>
      </c>
    </row>
    <row r="169" spans="2:9" x14ac:dyDescent="0.25">
      <c r="B169" s="181">
        <v>137</v>
      </c>
      <c r="C169" s="144">
        <f t="shared" si="20"/>
        <v>1918000</v>
      </c>
      <c r="D169" s="148">
        <f t="shared" si="16"/>
        <v>91249506.849315062</v>
      </c>
      <c r="F169" s="151">
        <f t="shared" si="17"/>
        <v>164798822.22222224</v>
      </c>
      <c r="G169" s="153">
        <f t="shared" si="21"/>
        <v>2250000</v>
      </c>
      <c r="H169" s="154">
        <f t="shared" si="18"/>
        <v>167048822.22222224</v>
      </c>
      <c r="I169" s="155">
        <f t="shared" si="19"/>
        <v>7876229222.0433722</v>
      </c>
    </row>
    <row r="170" spans="2:9" x14ac:dyDescent="0.25">
      <c r="B170" s="181">
        <v>138</v>
      </c>
      <c r="C170" s="144">
        <f t="shared" si="20"/>
        <v>1945232.8767123288</v>
      </c>
      <c r="D170" s="148">
        <f t="shared" si="16"/>
        <v>93194739.726027384</v>
      </c>
      <c r="F170" s="151">
        <f t="shared" si="17"/>
        <v>167182400</v>
      </c>
      <c r="G170" s="153">
        <f t="shared" si="21"/>
        <v>2250000</v>
      </c>
      <c r="H170" s="154">
        <f t="shared" si="18"/>
        <v>169432400</v>
      </c>
      <c r="I170" s="155">
        <f t="shared" si="19"/>
        <v>8045661622.0433722</v>
      </c>
    </row>
    <row r="171" spans="2:9" x14ac:dyDescent="0.25">
      <c r="B171" s="181">
        <v>139</v>
      </c>
      <c r="C171" s="144">
        <f t="shared" si="20"/>
        <v>1972657.5342465749</v>
      </c>
      <c r="D171" s="148">
        <f t="shared" si="16"/>
        <v>95167397.260273963</v>
      </c>
      <c r="F171" s="151">
        <f t="shared" si="17"/>
        <v>169583088.88888887</v>
      </c>
      <c r="G171" s="153">
        <f t="shared" si="21"/>
        <v>2250000</v>
      </c>
      <c r="H171" s="154">
        <f t="shared" si="18"/>
        <v>171833088.88888887</v>
      </c>
      <c r="I171" s="155">
        <f t="shared" si="19"/>
        <v>8217494710.9322615</v>
      </c>
    </row>
    <row r="172" spans="2:9" x14ac:dyDescent="0.25">
      <c r="B172" s="181">
        <v>140</v>
      </c>
      <c r="C172" s="144">
        <f t="shared" si="20"/>
        <v>2000273.9726027399</v>
      </c>
      <c r="D172" s="148">
        <f t="shared" si="16"/>
        <v>97167671.232876703</v>
      </c>
      <c r="F172" s="151">
        <f t="shared" si="17"/>
        <v>172000888.88888887</v>
      </c>
      <c r="G172" s="153">
        <f t="shared" si="21"/>
        <v>2250000</v>
      </c>
      <c r="H172" s="154">
        <f t="shared" si="18"/>
        <v>174250888.88888887</v>
      </c>
      <c r="I172" s="155">
        <f t="shared" si="19"/>
        <v>8391745599.8211508</v>
      </c>
    </row>
    <row r="173" spans="2:9" x14ac:dyDescent="0.25">
      <c r="B173" s="184">
        <v>141</v>
      </c>
      <c r="C173" s="159">
        <f t="shared" si="20"/>
        <v>2028082.1917808221</v>
      </c>
      <c r="D173" s="150">
        <f t="shared" si="16"/>
        <v>99195753.424657524</v>
      </c>
      <c r="F173" s="151">
        <f t="shared" si="17"/>
        <v>174435800</v>
      </c>
      <c r="G173" s="153">
        <f t="shared" si="21"/>
        <v>2250000</v>
      </c>
      <c r="H173" s="154">
        <f t="shared" si="18"/>
        <v>176685800</v>
      </c>
      <c r="I173" s="155">
        <f t="shared" si="19"/>
        <v>8568431399.8211508</v>
      </c>
    </row>
    <row r="174" spans="2:9" x14ac:dyDescent="0.25">
      <c r="B174" s="181">
        <v>142</v>
      </c>
      <c r="C174" s="144">
        <f t="shared" si="20"/>
        <v>2056082.1917808221</v>
      </c>
      <c r="D174" s="148">
        <f t="shared" si="16"/>
        <v>101251835.61643834</v>
      </c>
      <c r="F174" s="152">
        <f t="shared" si="17"/>
        <v>176887822.22222221</v>
      </c>
      <c r="G174" s="156">
        <f t="shared" si="21"/>
        <v>2250000</v>
      </c>
      <c r="H174" s="157">
        <f t="shared" si="18"/>
        <v>179137822.22222221</v>
      </c>
      <c r="I174" s="158">
        <f t="shared" si="19"/>
        <v>8747569222.0433731</v>
      </c>
    </row>
    <row r="175" spans="2:9" x14ac:dyDescent="0.25">
      <c r="B175" s="181">
        <v>143</v>
      </c>
      <c r="C175" s="144">
        <f t="shared" si="20"/>
        <v>2084273.9726027395</v>
      </c>
      <c r="D175" s="148">
        <f t="shared" si="16"/>
        <v>103336109.58904108</v>
      </c>
      <c r="F175" s="151">
        <f t="shared" si="17"/>
        <v>179356955.55555555</v>
      </c>
      <c r="G175" s="153">
        <f t="shared" si="21"/>
        <v>2250000</v>
      </c>
      <c r="H175" s="154">
        <f t="shared" si="18"/>
        <v>181606955.55555555</v>
      </c>
      <c r="I175" s="155">
        <f t="shared" si="19"/>
        <v>8929176177.5989285</v>
      </c>
    </row>
    <row r="176" spans="2:9" x14ac:dyDescent="0.25">
      <c r="B176" s="181">
        <v>144</v>
      </c>
      <c r="C176" s="144">
        <f t="shared" si="20"/>
        <v>2112657.5342465756</v>
      </c>
      <c r="D176" s="148">
        <f t="shared" si="16"/>
        <v>105448767.12328766</v>
      </c>
      <c r="F176" s="151">
        <f t="shared" si="17"/>
        <v>181843200</v>
      </c>
      <c r="G176" s="153">
        <f t="shared" si="21"/>
        <v>2250000</v>
      </c>
      <c r="H176" s="154">
        <f t="shared" si="18"/>
        <v>184093200</v>
      </c>
      <c r="I176" s="155">
        <f t="shared" si="19"/>
        <v>9113269377.5989285</v>
      </c>
    </row>
    <row r="177" spans="2:9" x14ac:dyDescent="0.25">
      <c r="B177" s="181">
        <v>145</v>
      </c>
      <c r="C177" s="144">
        <f t="shared" si="20"/>
        <v>2141232.8767123288</v>
      </c>
      <c r="D177" s="148">
        <f t="shared" si="16"/>
        <v>107589999.99999999</v>
      </c>
      <c r="F177" s="151">
        <f t="shared" si="17"/>
        <v>184346555.55555555</v>
      </c>
      <c r="G177" s="153">
        <f t="shared" si="21"/>
        <v>2250000</v>
      </c>
      <c r="H177" s="154">
        <f t="shared" si="18"/>
        <v>186596555.55555555</v>
      </c>
      <c r="I177" s="155">
        <f t="shared" si="19"/>
        <v>9299865933.1544838</v>
      </c>
    </row>
    <row r="178" spans="2:9" x14ac:dyDescent="0.25">
      <c r="B178" s="181">
        <v>146</v>
      </c>
      <c r="C178" s="144">
        <f t="shared" si="20"/>
        <v>2170000.0000000005</v>
      </c>
      <c r="D178" s="148">
        <f t="shared" si="16"/>
        <v>109759999.99999999</v>
      </c>
      <c r="F178" s="151">
        <f t="shared" si="17"/>
        <v>186867022.22222224</v>
      </c>
      <c r="G178" s="153">
        <f t="shared" si="21"/>
        <v>2250000</v>
      </c>
      <c r="H178" s="154">
        <f t="shared" si="18"/>
        <v>189117022.22222224</v>
      </c>
      <c r="I178" s="155">
        <f t="shared" si="19"/>
        <v>9488982955.3767052</v>
      </c>
    </row>
    <row r="179" spans="2:9" x14ac:dyDescent="0.25">
      <c r="B179" s="181">
        <v>147</v>
      </c>
      <c r="C179" s="144">
        <f t="shared" si="20"/>
        <v>2198958.9041095893</v>
      </c>
      <c r="D179" s="148">
        <f t="shared" si="16"/>
        <v>111958958.90410957</v>
      </c>
      <c r="F179" s="151">
        <f t="shared" si="17"/>
        <v>189404600</v>
      </c>
      <c r="G179" s="153">
        <f t="shared" si="21"/>
        <v>2250000</v>
      </c>
      <c r="H179" s="154">
        <f t="shared" si="18"/>
        <v>191654600</v>
      </c>
      <c r="I179" s="155">
        <f t="shared" si="19"/>
        <v>9680637555.3767052</v>
      </c>
    </row>
    <row r="180" spans="2:9" x14ac:dyDescent="0.25">
      <c r="B180" s="181">
        <v>148</v>
      </c>
      <c r="C180" s="144">
        <f t="shared" si="20"/>
        <v>2228109.5890410957</v>
      </c>
      <c r="D180" s="148">
        <f t="shared" si="16"/>
        <v>114187068.49315067</v>
      </c>
      <c r="F180" s="151">
        <f t="shared" si="17"/>
        <v>191959288.88888887</v>
      </c>
      <c r="G180" s="153">
        <f t="shared" si="21"/>
        <v>2250000</v>
      </c>
      <c r="H180" s="154">
        <f t="shared" si="18"/>
        <v>194209288.88888887</v>
      </c>
      <c r="I180" s="155">
        <f t="shared" si="19"/>
        <v>9874846844.2655945</v>
      </c>
    </row>
    <row r="181" spans="2:9" x14ac:dyDescent="0.25">
      <c r="B181" s="181">
        <v>149</v>
      </c>
      <c r="C181" s="144">
        <f t="shared" si="20"/>
        <v>2257452.0547945206</v>
      </c>
      <c r="D181" s="148">
        <f t="shared" si="16"/>
        <v>116444520.54794519</v>
      </c>
      <c r="F181" s="152">
        <f t="shared" si="17"/>
        <v>194531088.88888887</v>
      </c>
      <c r="G181" s="156">
        <f t="shared" si="21"/>
        <v>2250000</v>
      </c>
      <c r="H181" s="157">
        <f t="shared" si="18"/>
        <v>196781088.88888887</v>
      </c>
      <c r="I181" s="158">
        <f t="shared" si="19"/>
        <v>10071627933.154484</v>
      </c>
    </row>
    <row r="182" spans="2:9" x14ac:dyDescent="0.25">
      <c r="B182" s="181">
        <v>150</v>
      </c>
      <c r="C182" s="144">
        <f t="shared" si="20"/>
        <v>2286986.3013698631</v>
      </c>
      <c r="D182" s="148">
        <f t="shared" si="16"/>
        <v>118731506.84931505</v>
      </c>
      <c r="F182" s="151">
        <f t="shared" si="17"/>
        <v>197120000</v>
      </c>
      <c r="G182" s="153">
        <f t="shared" si="21"/>
        <v>2250000</v>
      </c>
      <c r="H182" s="154">
        <f t="shared" si="18"/>
        <v>199370000</v>
      </c>
      <c r="I182" s="155">
        <f t="shared" si="19"/>
        <v>10270997933.154484</v>
      </c>
    </row>
    <row r="183" spans="2:9" x14ac:dyDescent="0.25">
      <c r="B183" s="181">
        <v>151</v>
      </c>
      <c r="C183" s="144">
        <f t="shared" si="20"/>
        <v>2316712.3287671232</v>
      </c>
      <c r="D183" s="148">
        <f t="shared" si="16"/>
        <v>121048219.17808217</v>
      </c>
      <c r="F183" s="151">
        <f t="shared" si="17"/>
        <v>199726022.22222221</v>
      </c>
      <c r="G183" s="153">
        <f t="shared" si="21"/>
        <v>2250000</v>
      </c>
      <c r="H183" s="154">
        <f t="shared" si="18"/>
        <v>201976022.22222221</v>
      </c>
      <c r="I183" s="155">
        <f t="shared" si="19"/>
        <v>10472973955.376705</v>
      </c>
    </row>
    <row r="184" spans="2:9" x14ac:dyDescent="0.25">
      <c r="B184" s="181">
        <v>152</v>
      </c>
      <c r="C184" s="144">
        <f t="shared" si="20"/>
        <v>2346630.1369863013</v>
      </c>
      <c r="D184" s="148">
        <f t="shared" si="16"/>
        <v>123394849.31506847</v>
      </c>
      <c r="F184" s="151">
        <f t="shared" si="17"/>
        <v>202349155.55555555</v>
      </c>
      <c r="G184" s="153">
        <f t="shared" si="21"/>
        <v>2250000</v>
      </c>
      <c r="H184" s="154">
        <f t="shared" si="18"/>
        <v>204599155.55555555</v>
      </c>
      <c r="I184" s="155">
        <f t="shared" si="19"/>
        <v>10677573110.932261</v>
      </c>
    </row>
    <row r="185" spans="2:9" x14ac:dyDescent="0.25">
      <c r="B185" s="184">
        <v>153</v>
      </c>
      <c r="C185" s="159">
        <f t="shared" si="20"/>
        <v>2376739.726027397</v>
      </c>
      <c r="D185" s="150">
        <f t="shared" si="16"/>
        <v>125771589.04109587</v>
      </c>
      <c r="F185" s="151">
        <f t="shared" si="17"/>
        <v>204989400</v>
      </c>
      <c r="G185" s="153">
        <f t="shared" si="21"/>
        <v>2250000</v>
      </c>
      <c r="H185" s="154">
        <f t="shared" si="18"/>
        <v>207239400</v>
      </c>
      <c r="I185" s="155">
        <f t="shared" si="19"/>
        <v>10884812510.932261</v>
      </c>
    </row>
    <row r="186" spans="2:9" x14ac:dyDescent="0.25">
      <c r="B186" s="181">
        <v>154</v>
      </c>
      <c r="C186" s="144">
        <f t="shared" si="20"/>
        <v>2407041.0958904107</v>
      </c>
      <c r="D186" s="148">
        <f t="shared" si="16"/>
        <v>128178630.13698629</v>
      </c>
      <c r="F186" s="151">
        <f t="shared" si="17"/>
        <v>207646755.55555555</v>
      </c>
      <c r="G186" s="153">
        <f t="shared" si="21"/>
        <v>2250000</v>
      </c>
      <c r="H186" s="154">
        <f t="shared" si="18"/>
        <v>209896755.55555555</v>
      </c>
      <c r="I186" s="155">
        <f t="shared" si="19"/>
        <v>11094709266.487816</v>
      </c>
    </row>
    <row r="187" spans="2:9" x14ac:dyDescent="0.25">
      <c r="B187" s="181">
        <v>155</v>
      </c>
      <c r="C187" s="144">
        <f t="shared" si="20"/>
        <v>2437534.246575342</v>
      </c>
      <c r="D187" s="148">
        <f t="shared" si="16"/>
        <v>130616164.38356163</v>
      </c>
      <c r="F187" s="151">
        <f t="shared" si="17"/>
        <v>210321222.22222224</v>
      </c>
      <c r="G187" s="153">
        <f t="shared" si="21"/>
        <v>2250000</v>
      </c>
      <c r="H187" s="154">
        <f t="shared" si="18"/>
        <v>212571222.22222224</v>
      </c>
      <c r="I187" s="155">
        <f t="shared" si="19"/>
        <v>11307280488.710037</v>
      </c>
    </row>
    <row r="188" spans="2:9" x14ac:dyDescent="0.25">
      <c r="B188" s="181">
        <v>156</v>
      </c>
      <c r="C188" s="144">
        <f t="shared" si="20"/>
        <v>2468219.1780821919</v>
      </c>
      <c r="D188" s="148">
        <f t="shared" si="16"/>
        <v>133084383.56164382</v>
      </c>
      <c r="F188" s="152">
        <f t="shared" si="17"/>
        <v>213012800</v>
      </c>
      <c r="G188" s="156">
        <f t="shared" si="21"/>
        <v>2250000</v>
      </c>
      <c r="H188" s="157">
        <f t="shared" si="18"/>
        <v>215262800</v>
      </c>
      <c r="I188" s="158">
        <f t="shared" si="19"/>
        <v>11522543288.710037</v>
      </c>
    </row>
    <row r="189" spans="2:9" x14ac:dyDescent="0.25">
      <c r="B189" s="181">
        <v>157</v>
      </c>
      <c r="C189" s="144">
        <f t="shared" si="20"/>
        <v>2499095.8904109593</v>
      </c>
      <c r="D189" s="148">
        <f t="shared" si="16"/>
        <v>135583479.45205477</v>
      </c>
      <c r="F189" s="151">
        <f t="shared" si="17"/>
        <v>215721488.88888887</v>
      </c>
      <c r="G189" s="153">
        <f t="shared" si="21"/>
        <v>2250000</v>
      </c>
      <c r="H189" s="154">
        <f t="shared" si="18"/>
        <v>217971488.88888887</v>
      </c>
      <c r="I189" s="155">
        <f t="shared" si="19"/>
        <v>11740514777.598927</v>
      </c>
    </row>
    <row r="190" spans="2:9" x14ac:dyDescent="0.25">
      <c r="B190" s="181">
        <v>158</v>
      </c>
      <c r="C190" s="144">
        <f t="shared" si="20"/>
        <v>2530164.3835616442</v>
      </c>
      <c r="D190" s="148">
        <f t="shared" si="16"/>
        <v>138113643.83561641</v>
      </c>
      <c r="F190" s="151">
        <f t="shared" si="17"/>
        <v>218447288.88888887</v>
      </c>
      <c r="G190" s="153">
        <f t="shared" si="21"/>
        <v>2250000</v>
      </c>
      <c r="H190" s="154">
        <f t="shared" si="18"/>
        <v>220697288.88888887</v>
      </c>
      <c r="I190" s="155">
        <f t="shared" si="19"/>
        <v>11961212066.487816</v>
      </c>
    </row>
    <row r="191" spans="2:9" x14ac:dyDescent="0.25">
      <c r="B191" s="181">
        <v>159</v>
      </c>
      <c r="C191" s="144">
        <f t="shared" si="20"/>
        <v>2561424.6575342463</v>
      </c>
      <c r="D191" s="148">
        <f t="shared" si="16"/>
        <v>140675068.49315065</v>
      </c>
      <c r="F191" s="151">
        <f t="shared" si="17"/>
        <v>221190200</v>
      </c>
      <c r="G191" s="153">
        <f t="shared" si="21"/>
        <v>2250000</v>
      </c>
      <c r="H191" s="154">
        <f t="shared" si="18"/>
        <v>223440200</v>
      </c>
      <c r="I191" s="155">
        <f t="shared" si="19"/>
        <v>12184652266.487816</v>
      </c>
    </row>
    <row r="192" spans="2:9" x14ac:dyDescent="0.25">
      <c r="B192" s="181">
        <v>160</v>
      </c>
      <c r="C192" s="144">
        <f t="shared" si="20"/>
        <v>2592876.7123287674</v>
      </c>
      <c r="D192" s="148">
        <f t="shared" si="16"/>
        <v>143267945.20547941</v>
      </c>
      <c r="F192" s="151">
        <f t="shared" si="17"/>
        <v>223950222.22222221</v>
      </c>
      <c r="G192" s="153">
        <f t="shared" si="21"/>
        <v>2250000</v>
      </c>
      <c r="H192" s="154">
        <f t="shared" si="18"/>
        <v>226200222.22222221</v>
      </c>
      <c r="I192" s="155">
        <f t="shared" si="19"/>
        <v>12410852488.710037</v>
      </c>
    </row>
    <row r="193" spans="2:9" x14ac:dyDescent="0.25">
      <c r="B193" s="181">
        <v>161</v>
      </c>
      <c r="C193" s="144">
        <f t="shared" si="20"/>
        <v>2624520.5479452056</v>
      </c>
      <c r="D193" s="148">
        <f t="shared" si="16"/>
        <v>145892465.75342461</v>
      </c>
      <c r="F193" s="151">
        <f t="shared" si="17"/>
        <v>226727355.55555555</v>
      </c>
      <c r="G193" s="153">
        <f t="shared" si="21"/>
        <v>2250000</v>
      </c>
      <c r="H193" s="154">
        <f t="shared" si="18"/>
        <v>228977355.55555555</v>
      </c>
      <c r="I193" s="155">
        <f t="shared" si="19"/>
        <v>12639829844.265593</v>
      </c>
    </row>
    <row r="194" spans="2:9" x14ac:dyDescent="0.25">
      <c r="B194" s="184">
        <v>162</v>
      </c>
      <c r="C194" s="159">
        <f t="shared" si="20"/>
        <v>2656356.1643835614</v>
      </c>
      <c r="D194" s="150">
        <f t="shared" si="16"/>
        <v>148548821.91780818</v>
      </c>
      <c r="F194" s="151">
        <f t="shared" si="17"/>
        <v>229521600</v>
      </c>
      <c r="G194" s="153">
        <f t="shared" si="21"/>
        <v>2250000</v>
      </c>
      <c r="H194" s="154">
        <f t="shared" si="18"/>
        <v>231771600</v>
      </c>
      <c r="I194" s="155">
        <f t="shared" si="19"/>
        <v>12871601444.265593</v>
      </c>
    </row>
    <row r="195" spans="2:9" x14ac:dyDescent="0.25">
      <c r="B195" s="181">
        <v>163</v>
      </c>
      <c r="C195" s="144">
        <f t="shared" si="20"/>
        <v>2688383.5616438352</v>
      </c>
      <c r="D195" s="148">
        <f t="shared" si="16"/>
        <v>151237205.47945201</v>
      </c>
      <c r="F195" s="152">
        <f t="shared" si="17"/>
        <v>232332955.55555555</v>
      </c>
      <c r="G195" s="156">
        <f t="shared" si="21"/>
        <v>2250000</v>
      </c>
      <c r="H195" s="157">
        <f t="shared" si="18"/>
        <v>234582955.55555555</v>
      </c>
      <c r="I195" s="158">
        <f t="shared" si="19"/>
        <v>13106184399.821148</v>
      </c>
    </row>
    <row r="196" spans="2:9" x14ac:dyDescent="0.25">
      <c r="B196" s="181">
        <v>164</v>
      </c>
      <c r="C196" s="144">
        <f t="shared" si="20"/>
        <v>2720602.7397260284</v>
      </c>
      <c r="D196" s="148">
        <f t="shared" si="16"/>
        <v>153957808.21917805</v>
      </c>
      <c r="F196" s="151">
        <f t="shared" si="17"/>
        <v>235161422.22222224</v>
      </c>
      <c r="G196" s="153">
        <f t="shared" si="21"/>
        <v>2250000</v>
      </c>
      <c r="H196" s="154">
        <f t="shared" si="18"/>
        <v>237411422.22222224</v>
      </c>
      <c r="I196" s="155">
        <f t="shared" si="19"/>
        <v>13343595822.043369</v>
      </c>
    </row>
    <row r="197" spans="2:9" x14ac:dyDescent="0.25">
      <c r="B197" s="181">
        <v>165</v>
      </c>
      <c r="C197" s="144">
        <f t="shared" si="20"/>
        <v>2753013.6986301369</v>
      </c>
      <c r="D197" s="148">
        <f t="shared" si="16"/>
        <v>156710821.91780818</v>
      </c>
      <c r="F197" s="151">
        <f t="shared" si="17"/>
        <v>238007000</v>
      </c>
      <c r="G197" s="153">
        <f t="shared" si="21"/>
        <v>2250000</v>
      </c>
      <c r="H197" s="154">
        <f t="shared" si="18"/>
        <v>240257000</v>
      </c>
      <c r="I197" s="155">
        <f t="shared" si="19"/>
        <v>13583852822.043369</v>
      </c>
    </row>
    <row r="198" spans="2:9" x14ac:dyDescent="0.25">
      <c r="B198" s="181">
        <v>166</v>
      </c>
      <c r="C198" s="144">
        <f t="shared" si="20"/>
        <v>2785616.4383561644</v>
      </c>
      <c r="D198" s="148">
        <f t="shared" si="16"/>
        <v>159496438.35616434</v>
      </c>
      <c r="F198" s="151">
        <f t="shared" si="17"/>
        <v>240869688.88888887</v>
      </c>
      <c r="G198" s="153">
        <f t="shared" si="21"/>
        <v>2250000</v>
      </c>
      <c r="H198" s="154">
        <f t="shared" si="18"/>
        <v>243119688.88888887</v>
      </c>
      <c r="I198" s="155">
        <f t="shared" si="19"/>
        <v>13826972510.932259</v>
      </c>
    </row>
    <row r="199" spans="2:9" x14ac:dyDescent="0.25">
      <c r="B199" s="181">
        <v>167</v>
      </c>
      <c r="C199" s="144">
        <f t="shared" si="20"/>
        <v>2818410.9589041094</v>
      </c>
      <c r="D199" s="148">
        <f t="shared" si="16"/>
        <v>162314849.31506845</v>
      </c>
      <c r="F199" s="151">
        <f t="shared" si="17"/>
        <v>243749488.88888887</v>
      </c>
      <c r="G199" s="153">
        <f t="shared" si="21"/>
        <v>2250000</v>
      </c>
      <c r="H199" s="154">
        <f t="shared" si="18"/>
        <v>245999488.88888887</v>
      </c>
      <c r="I199" s="155">
        <f t="shared" si="19"/>
        <v>14072971999.821148</v>
      </c>
    </row>
    <row r="200" spans="2:9" x14ac:dyDescent="0.25">
      <c r="B200" s="181">
        <v>168</v>
      </c>
      <c r="C200" s="144">
        <f t="shared" si="20"/>
        <v>2851397.2602739725</v>
      </c>
      <c r="D200" s="148">
        <f t="shared" si="16"/>
        <v>165166246.57534242</v>
      </c>
      <c r="F200" s="151">
        <f t="shared" si="17"/>
        <v>246646400</v>
      </c>
      <c r="G200" s="153">
        <f t="shared" si="21"/>
        <v>2250000</v>
      </c>
      <c r="H200" s="154">
        <f t="shared" si="18"/>
        <v>248896400</v>
      </c>
      <c r="I200" s="155">
        <f t="shared" si="19"/>
        <v>14321868399.821148</v>
      </c>
    </row>
    <row r="201" spans="2:9" x14ac:dyDescent="0.25">
      <c r="B201" s="181">
        <v>169</v>
      </c>
      <c r="C201" s="144">
        <f t="shared" si="20"/>
        <v>2884575.3424657537</v>
      </c>
      <c r="D201" s="148">
        <f t="shared" si="16"/>
        <v>168050821.91780818</v>
      </c>
      <c r="F201" s="151">
        <f t="shared" si="17"/>
        <v>249560422.22222221</v>
      </c>
      <c r="G201" s="153">
        <f t="shared" si="21"/>
        <v>2250000</v>
      </c>
      <c r="H201" s="154">
        <f t="shared" si="18"/>
        <v>251810422.22222221</v>
      </c>
      <c r="I201" s="155">
        <f t="shared" si="19"/>
        <v>14573678822.043369</v>
      </c>
    </row>
    <row r="202" spans="2:9" x14ac:dyDescent="0.25">
      <c r="B202" s="181">
        <v>170</v>
      </c>
      <c r="C202" s="144">
        <f t="shared" si="20"/>
        <v>2917945.2054794519</v>
      </c>
      <c r="D202" s="148">
        <f t="shared" si="16"/>
        <v>170968767.12328762</v>
      </c>
      <c r="F202" s="152">
        <f t="shared" si="17"/>
        <v>252491555.55555555</v>
      </c>
      <c r="G202" s="156">
        <f t="shared" si="21"/>
        <v>2250000</v>
      </c>
      <c r="H202" s="157">
        <f t="shared" si="18"/>
        <v>254741555.55555555</v>
      </c>
      <c r="I202" s="158">
        <f t="shared" si="19"/>
        <v>14828420377.598925</v>
      </c>
    </row>
    <row r="203" spans="2:9" x14ac:dyDescent="0.25">
      <c r="B203" s="181">
        <v>171</v>
      </c>
      <c r="C203" s="144">
        <f t="shared" si="20"/>
        <v>2951506.8493150687</v>
      </c>
      <c r="D203" s="148">
        <f t="shared" si="16"/>
        <v>173920273.9726027</v>
      </c>
      <c r="F203" s="151">
        <f t="shared" si="17"/>
        <v>255439800</v>
      </c>
      <c r="G203" s="153">
        <f t="shared" si="21"/>
        <v>2250000</v>
      </c>
      <c r="H203" s="154">
        <f t="shared" si="18"/>
        <v>257689800</v>
      </c>
      <c r="I203" s="155">
        <f t="shared" si="19"/>
        <v>15086110177.598925</v>
      </c>
    </row>
    <row r="204" spans="2:9" x14ac:dyDescent="0.25">
      <c r="B204" s="181">
        <v>172</v>
      </c>
      <c r="C204" s="144">
        <f t="shared" si="20"/>
        <v>2985260.2739726026</v>
      </c>
      <c r="D204" s="148">
        <f t="shared" si="16"/>
        <v>176905534.2465753</v>
      </c>
      <c r="F204" s="151">
        <f t="shared" si="17"/>
        <v>258405155.55555555</v>
      </c>
      <c r="G204" s="153">
        <f t="shared" si="21"/>
        <v>2250000</v>
      </c>
      <c r="H204" s="154">
        <f t="shared" si="18"/>
        <v>260655155.55555555</v>
      </c>
      <c r="I204" s="155">
        <f t="shared" si="19"/>
        <v>15346765333.15448</v>
      </c>
    </row>
    <row r="205" spans="2:9" x14ac:dyDescent="0.25">
      <c r="B205" s="181">
        <v>173</v>
      </c>
      <c r="C205" s="144">
        <f t="shared" si="20"/>
        <v>3019205.4794520545</v>
      </c>
      <c r="D205" s="148">
        <f t="shared" si="16"/>
        <v>179924739.72602734</v>
      </c>
      <c r="F205" s="151">
        <f t="shared" si="17"/>
        <v>261387622.22222224</v>
      </c>
      <c r="G205" s="153">
        <f t="shared" si="21"/>
        <v>2250000</v>
      </c>
      <c r="H205" s="154">
        <f t="shared" si="18"/>
        <v>263637622.22222224</v>
      </c>
      <c r="I205" s="155">
        <f t="shared" si="19"/>
        <v>15610402955.376701</v>
      </c>
    </row>
    <row r="206" spans="2:9" x14ac:dyDescent="0.25">
      <c r="B206" s="184">
        <v>174</v>
      </c>
      <c r="C206" s="159">
        <f t="shared" si="20"/>
        <v>3053342.4657534254</v>
      </c>
      <c r="D206" s="150">
        <f t="shared" si="16"/>
        <v>182978082.19178078</v>
      </c>
      <c r="F206" s="151">
        <f t="shared" si="17"/>
        <v>264387199.99999997</v>
      </c>
      <c r="G206" s="153">
        <f t="shared" si="21"/>
        <v>2250000</v>
      </c>
      <c r="H206" s="154">
        <f t="shared" si="18"/>
        <v>266637199.99999997</v>
      </c>
      <c r="I206" s="155">
        <f t="shared" si="19"/>
        <v>15877040155.376701</v>
      </c>
    </row>
    <row r="207" spans="2:9" x14ac:dyDescent="0.25">
      <c r="B207" s="181">
        <v>175</v>
      </c>
      <c r="C207" s="144">
        <f t="shared" si="20"/>
        <v>3087671.2328767125</v>
      </c>
      <c r="D207" s="148">
        <f t="shared" si="16"/>
        <v>186065753.42465749</v>
      </c>
      <c r="F207" s="151">
        <f t="shared" si="17"/>
        <v>267403888.88888887</v>
      </c>
      <c r="G207" s="153">
        <f t="shared" si="21"/>
        <v>2250000</v>
      </c>
      <c r="H207" s="154">
        <f t="shared" si="18"/>
        <v>269653888.88888884</v>
      </c>
      <c r="I207" s="155">
        <f t="shared" si="19"/>
        <v>16146694044.265591</v>
      </c>
    </row>
    <row r="208" spans="2:9" x14ac:dyDescent="0.25">
      <c r="B208" s="181">
        <v>176</v>
      </c>
      <c r="C208" s="144">
        <f t="shared" si="20"/>
        <v>3122191.780821918</v>
      </c>
      <c r="D208" s="148">
        <f t="shared" si="16"/>
        <v>189187945.20547941</v>
      </c>
      <c r="F208" s="151">
        <f t="shared" si="17"/>
        <v>270437688.8888889</v>
      </c>
      <c r="G208" s="153">
        <f t="shared" si="21"/>
        <v>2250000</v>
      </c>
      <c r="H208" s="154">
        <f t="shared" si="18"/>
        <v>272687688.8888889</v>
      </c>
      <c r="I208" s="155">
        <f t="shared" si="19"/>
        <v>16419381733.15448</v>
      </c>
    </row>
    <row r="209" spans="2:9" x14ac:dyDescent="0.25">
      <c r="B209" s="181">
        <v>177</v>
      </c>
      <c r="C209" s="144">
        <f t="shared" si="20"/>
        <v>3156904.1095890407</v>
      </c>
      <c r="D209" s="148">
        <f t="shared" si="16"/>
        <v>192344849.31506845</v>
      </c>
      <c r="F209" s="152">
        <f t="shared" si="17"/>
        <v>273488600</v>
      </c>
      <c r="G209" s="156">
        <f t="shared" si="21"/>
        <v>2250000</v>
      </c>
      <c r="H209" s="157">
        <f t="shared" si="18"/>
        <v>275738600</v>
      </c>
      <c r="I209" s="158">
        <f t="shared" si="19"/>
        <v>16695120333.15448</v>
      </c>
    </row>
    <row r="210" spans="2:9" x14ac:dyDescent="0.25">
      <c r="B210" s="181">
        <v>178</v>
      </c>
      <c r="C210" s="144">
        <f t="shared" si="20"/>
        <v>3191808.219178082</v>
      </c>
      <c r="D210" s="148">
        <f t="shared" si="16"/>
        <v>195536657.53424653</v>
      </c>
      <c r="F210" s="151">
        <f t="shared" si="17"/>
        <v>276556622.22222221</v>
      </c>
      <c r="G210" s="153">
        <f t="shared" si="21"/>
        <v>2250000</v>
      </c>
      <c r="H210" s="154">
        <f t="shared" si="18"/>
        <v>278806622.22222221</v>
      </c>
      <c r="I210" s="155">
        <f t="shared" si="19"/>
        <v>16973926955.376701</v>
      </c>
    </row>
    <row r="211" spans="2:9" x14ac:dyDescent="0.25">
      <c r="B211" s="181">
        <v>179</v>
      </c>
      <c r="C211" s="144">
        <f t="shared" si="20"/>
        <v>3226904.1095890412</v>
      </c>
      <c r="D211" s="148">
        <f t="shared" si="16"/>
        <v>198763561.64383557</v>
      </c>
      <c r="F211" s="151">
        <f t="shared" si="17"/>
        <v>279641755.55555552</v>
      </c>
      <c r="G211" s="153">
        <f t="shared" si="21"/>
        <v>2250000</v>
      </c>
      <c r="H211" s="154">
        <f t="shared" si="18"/>
        <v>281891755.55555552</v>
      </c>
      <c r="I211" s="155">
        <f t="shared" si="19"/>
        <v>17255818710.932259</v>
      </c>
    </row>
    <row r="212" spans="2:9" x14ac:dyDescent="0.25">
      <c r="B212" s="181">
        <v>180</v>
      </c>
      <c r="C212" s="144">
        <f t="shared" si="20"/>
        <v>3262191.7808219176</v>
      </c>
      <c r="D212" s="148">
        <f t="shared" si="16"/>
        <v>202025753.42465749</v>
      </c>
      <c r="F212" s="151">
        <f t="shared" si="17"/>
        <v>282744000</v>
      </c>
      <c r="G212" s="153">
        <f t="shared" si="21"/>
        <v>2250000</v>
      </c>
      <c r="H212" s="154">
        <f t="shared" si="18"/>
        <v>284994000</v>
      </c>
      <c r="I212" s="155">
        <f t="shared" si="19"/>
        <v>17540812710.932259</v>
      </c>
    </row>
    <row r="213" spans="2:9" x14ac:dyDescent="0.25">
      <c r="B213" s="181">
        <v>181</v>
      </c>
      <c r="C213" s="144">
        <f t="shared" si="20"/>
        <v>3297671.2328767125</v>
      </c>
      <c r="D213" s="148">
        <f t="shared" si="16"/>
        <v>205323424.65753421</v>
      </c>
      <c r="F213" s="151">
        <f t="shared" si="17"/>
        <v>285863355.55555558</v>
      </c>
      <c r="G213" s="153">
        <f t="shared" si="21"/>
        <v>2250000</v>
      </c>
      <c r="H213" s="154">
        <f t="shared" si="18"/>
        <v>288113355.55555558</v>
      </c>
      <c r="I213" s="155">
        <f t="shared" si="19"/>
        <v>17828926066.487816</v>
      </c>
    </row>
    <row r="214" spans="2:9" x14ac:dyDescent="0.25">
      <c r="B214" s="181">
        <v>182</v>
      </c>
      <c r="C214" s="144">
        <f t="shared" si="20"/>
        <v>3333342.4657534244</v>
      </c>
      <c r="D214" s="148">
        <f t="shared" si="16"/>
        <v>208656767.12328765</v>
      </c>
      <c r="F214" s="151">
        <f t="shared" si="17"/>
        <v>288999822.22222221</v>
      </c>
      <c r="G214" s="153">
        <f t="shared" si="21"/>
        <v>2250000</v>
      </c>
      <c r="H214" s="154">
        <f t="shared" si="18"/>
        <v>291249822.22222221</v>
      </c>
      <c r="I214" s="155">
        <f t="shared" si="19"/>
        <v>18120175888.710037</v>
      </c>
    </row>
    <row r="215" spans="2:9" x14ac:dyDescent="0.25">
      <c r="B215" s="184">
        <v>183</v>
      </c>
      <c r="C215" s="159">
        <f t="shared" si="20"/>
        <v>3369205.479452054</v>
      </c>
      <c r="D215" s="150">
        <f t="shared" si="16"/>
        <v>212025972.60273969</v>
      </c>
      <c r="F215" s="151">
        <f t="shared" si="17"/>
        <v>292153400</v>
      </c>
      <c r="G215" s="153">
        <f t="shared" si="21"/>
        <v>2250000</v>
      </c>
      <c r="H215" s="154">
        <f t="shared" si="18"/>
        <v>294403400</v>
      </c>
      <c r="I215" s="155">
        <f t="shared" si="19"/>
        <v>18414579288.710037</v>
      </c>
    </row>
    <row r="216" spans="2:9" x14ac:dyDescent="0.25">
      <c r="B216" s="181">
        <v>184</v>
      </c>
      <c r="C216" s="144">
        <f t="shared" si="20"/>
        <v>3405260.2739726035</v>
      </c>
      <c r="D216" s="148">
        <f t="shared" si="16"/>
        <v>215431232.87671229</v>
      </c>
      <c r="F216" s="152">
        <f t="shared" si="17"/>
        <v>295324088.8888889</v>
      </c>
      <c r="G216" s="156">
        <f t="shared" si="21"/>
        <v>2250000</v>
      </c>
      <c r="H216" s="157">
        <f t="shared" si="18"/>
        <v>297574088.8888889</v>
      </c>
      <c r="I216" s="158">
        <f t="shared" si="19"/>
        <v>18712153377.598927</v>
      </c>
    </row>
    <row r="217" spans="2:9" x14ac:dyDescent="0.25">
      <c r="B217" s="181">
        <v>185</v>
      </c>
      <c r="C217" s="144">
        <f t="shared" si="20"/>
        <v>3441506.8493150682</v>
      </c>
      <c r="D217" s="148">
        <f t="shared" si="16"/>
        <v>218872739.72602737</v>
      </c>
      <c r="F217" s="151">
        <f t="shared" si="17"/>
        <v>298511888.8888889</v>
      </c>
      <c r="G217" s="153">
        <f t="shared" si="21"/>
        <v>2250000</v>
      </c>
      <c r="H217" s="154">
        <f t="shared" si="18"/>
        <v>300761888.8888889</v>
      </c>
      <c r="I217" s="155">
        <f t="shared" si="19"/>
        <v>19012915266.487816</v>
      </c>
    </row>
    <row r="218" spans="2:9" x14ac:dyDescent="0.25">
      <c r="B218" s="181">
        <v>186</v>
      </c>
      <c r="C218" s="144">
        <f t="shared" si="20"/>
        <v>3477945.2054794519</v>
      </c>
      <c r="D218" s="148">
        <f t="shared" si="16"/>
        <v>222350684.93150681</v>
      </c>
      <c r="F218" s="151">
        <f t="shared" si="17"/>
        <v>301716800</v>
      </c>
      <c r="G218" s="153">
        <f t="shared" si="21"/>
        <v>2250000</v>
      </c>
      <c r="H218" s="154">
        <f t="shared" si="18"/>
        <v>303966800</v>
      </c>
      <c r="I218" s="155">
        <f t="shared" si="19"/>
        <v>19316882066.487816</v>
      </c>
    </row>
    <row r="219" spans="2:9" x14ac:dyDescent="0.25">
      <c r="B219" s="181">
        <v>187</v>
      </c>
      <c r="C219" s="144">
        <f t="shared" si="20"/>
        <v>3514575.3424657532</v>
      </c>
      <c r="D219" s="148">
        <f t="shared" si="16"/>
        <v>225865260.27397257</v>
      </c>
      <c r="F219" s="151">
        <f t="shared" si="17"/>
        <v>304938822.22222221</v>
      </c>
      <c r="G219" s="153">
        <f t="shared" si="21"/>
        <v>2250000</v>
      </c>
      <c r="H219" s="154">
        <f t="shared" si="18"/>
        <v>307188822.22222221</v>
      </c>
      <c r="I219" s="155">
        <f t="shared" si="19"/>
        <v>19624070888.710037</v>
      </c>
    </row>
    <row r="220" spans="2:9" x14ac:dyDescent="0.25">
      <c r="B220" s="181">
        <v>188</v>
      </c>
      <c r="C220" s="144">
        <f t="shared" si="20"/>
        <v>3551397.2602739725</v>
      </c>
      <c r="D220" s="148">
        <f t="shared" si="16"/>
        <v>229416657.53424653</v>
      </c>
      <c r="F220" s="151">
        <f t="shared" si="17"/>
        <v>308177955.55555552</v>
      </c>
      <c r="G220" s="153">
        <f t="shared" si="21"/>
        <v>2250000</v>
      </c>
      <c r="H220" s="154">
        <f t="shared" si="18"/>
        <v>310427955.55555552</v>
      </c>
      <c r="I220" s="155">
        <f t="shared" si="19"/>
        <v>19934498844.265594</v>
      </c>
    </row>
    <row r="221" spans="2:9" x14ac:dyDescent="0.25">
      <c r="B221" s="181">
        <v>189</v>
      </c>
      <c r="C221" s="144">
        <f t="shared" si="20"/>
        <v>3588410.9589041104</v>
      </c>
      <c r="D221" s="148">
        <f t="shared" ref="D221:D237" si="22">D220+C221</f>
        <v>233005068.49315065</v>
      </c>
      <c r="F221" s="151">
        <f t="shared" ref="F221:F237" si="23">$I$10*(G$19*$B221+G$20*$B221)*(1+G$20*$B221/(2*G$21))</f>
        <v>311434200</v>
      </c>
      <c r="G221" s="153">
        <f t="shared" si="21"/>
        <v>2250000</v>
      </c>
      <c r="H221" s="154">
        <f t="shared" ref="H221:H237" si="24">F221+G221</f>
        <v>313684200</v>
      </c>
      <c r="I221" s="155">
        <f t="shared" ref="I221:I237" si="25">I220+H221</f>
        <v>20248183044.265594</v>
      </c>
    </row>
    <row r="222" spans="2:9" x14ac:dyDescent="0.25">
      <c r="B222" s="181">
        <v>190</v>
      </c>
      <c r="C222" s="144">
        <f t="shared" si="20"/>
        <v>3625616.4383561639</v>
      </c>
      <c r="D222" s="148">
        <f t="shared" si="22"/>
        <v>236630684.93150681</v>
      </c>
      <c r="F222" s="151">
        <f t="shared" si="23"/>
        <v>314707555.55555558</v>
      </c>
      <c r="G222" s="153">
        <f t="shared" si="21"/>
        <v>2250000</v>
      </c>
      <c r="H222" s="154">
        <f t="shared" si="24"/>
        <v>316957555.55555558</v>
      </c>
      <c r="I222" s="155">
        <f t="shared" si="25"/>
        <v>20565140599.821152</v>
      </c>
    </row>
    <row r="223" spans="2:9" x14ac:dyDescent="0.25">
      <c r="B223" s="181">
        <v>191</v>
      </c>
      <c r="C223" s="144">
        <f t="shared" si="20"/>
        <v>3663013.6986301369</v>
      </c>
      <c r="D223" s="148">
        <f t="shared" si="22"/>
        <v>240293698.63013694</v>
      </c>
      <c r="F223" s="152">
        <f t="shared" si="23"/>
        <v>317998022.22222221</v>
      </c>
      <c r="G223" s="156">
        <f t="shared" si="21"/>
        <v>2250000</v>
      </c>
      <c r="H223" s="157">
        <f t="shared" si="24"/>
        <v>320248022.22222221</v>
      </c>
      <c r="I223" s="158">
        <f t="shared" si="25"/>
        <v>20885388622.043373</v>
      </c>
    </row>
    <row r="224" spans="2:9" x14ac:dyDescent="0.25">
      <c r="B224" s="181">
        <v>192</v>
      </c>
      <c r="C224" s="144">
        <f t="shared" si="20"/>
        <v>3700602.7397260275</v>
      </c>
      <c r="D224" s="148">
        <f t="shared" si="22"/>
        <v>243994301.36986297</v>
      </c>
      <c r="F224" s="151">
        <f t="shared" si="23"/>
        <v>321305600</v>
      </c>
      <c r="G224" s="153">
        <f t="shared" si="21"/>
        <v>2250000</v>
      </c>
      <c r="H224" s="154">
        <f t="shared" si="24"/>
        <v>323555600</v>
      </c>
      <c r="I224" s="155">
        <f t="shared" si="25"/>
        <v>21208944222.043373</v>
      </c>
    </row>
    <row r="225" spans="2:9" x14ac:dyDescent="0.25">
      <c r="B225" s="181">
        <v>193</v>
      </c>
      <c r="C225" s="144">
        <f t="shared" ref="C225:C281" si="26">((1-C$27)*C$26/C$22)*(C$19*$B225+C$20*$B225)*(1+C$20*$B225/(2*C$21))</f>
        <v>3738383.5616438356</v>
      </c>
      <c r="D225" s="148">
        <f t="shared" si="22"/>
        <v>247732684.93150681</v>
      </c>
      <c r="F225" s="151">
        <f t="shared" si="23"/>
        <v>324630288.88888884</v>
      </c>
      <c r="G225" s="153">
        <f t="shared" ref="G225:G281" si="27">IF(((1-G$27)*G$26/G$22)*(G$19*$B225+G$20*$B225)*(1+G$20*$B225/(2*G$21))&gt;((1-G$27)*G$26),((1-G$27)*G$26),((1-G$27)*G$26/G$22)*(G$19*$B225+G$20*$B225)*(1+G$20*$B225/(2*G$21)))</f>
        <v>2250000</v>
      </c>
      <c r="H225" s="154">
        <f t="shared" si="24"/>
        <v>326880288.88888884</v>
      </c>
      <c r="I225" s="155">
        <f t="shared" si="25"/>
        <v>21535824510.932262</v>
      </c>
    </row>
    <row r="226" spans="2:9" x14ac:dyDescent="0.25">
      <c r="B226" s="181">
        <v>194</v>
      </c>
      <c r="C226" s="144">
        <f t="shared" si="26"/>
        <v>3776356.1643835623</v>
      </c>
      <c r="D226" s="148">
        <f t="shared" si="22"/>
        <v>251509041.09589037</v>
      </c>
      <c r="F226" s="151">
        <f t="shared" si="23"/>
        <v>327972088.8888889</v>
      </c>
      <c r="G226" s="153">
        <f t="shared" si="27"/>
        <v>2250000</v>
      </c>
      <c r="H226" s="154">
        <f t="shared" si="24"/>
        <v>330222088.8888889</v>
      </c>
      <c r="I226" s="155">
        <f t="shared" si="25"/>
        <v>21866046599.821152</v>
      </c>
    </row>
    <row r="227" spans="2:9" x14ac:dyDescent="0.25">
      <c r="B227" s="184">
        <v>195</v>
      </c>
      <c r="C227" s="159">
        <f t="shared" si="26"/>
        <v>3814520.5479452056</v>
      </c>
      <c r="D227" s="150">
        <f t="shared" si="22"/>
        <v>255323561.64383557</v>
      </c>
      <c r="F227" s="151">
        <f t="shared" si="23"/>
        <v>331331000</v>
      </c>
      <c r="G227" s="153">
        <f t="shared" si="27"/>
        <v>2250000</v>
      </c>
      <c r="H227" s="154">
        <f t="shared" si="24"/>
        <v>333581000</v>
      </c>
      <c r="I227" s="155">
        <f t="shared" si="25"/>
        <v>22199627599.821152</v>
      </c>
    </row>
    <row r="228" spans="2:9" x14ac:dyDescent="0.25">
      <c r="B228" s="181">
        <v>196</v>
      </c>
      <c r="C228" s="144">
        <f t="shared" si="26"/>
        <v>3852876.7123287669</v>
      </c>
      <c r="D228" s="148">
        <f t="shared" si="22"/>
        <v>259176438.35616434</v>
      </c>
      <c r="F228" s="151">
        <f t="shared" si="23"/>
        <v>334707022.22222221</v>
      </c>
      <c r="G228" s="153">
        <f t="shared" si="27"/>
        <v>2250000</v>
      </c>
      <c r="H228" s="154">
        <f t="shared" si="24"/>
        <v>336957022.22222221</v>
      </c>
      <c r="I228" s="155">
        <f t="shared" si="25"/>
        <v>22536584622.043373</v>
      </c>
    </row>
    <row r="229" spans="2:9" x14ac:dyDescent="0.25">
      <c r="B229" s="181">
        <v>197</v>
      </c>
      <c r="C229" s="144">
        <f t="shared" si="26"/>
        <v>3891424.6575342473</v>
      </c>
      <c r="D229" s="148">
        <f t="shared" si="22"/>
        <v>263067863.01369858</v>
      </c>
      <c r="F229" s="151">
        <f t="shared" si="23"/>
        <v>338100155.55555552</v>
      </c>
      <c r="G229" s="153">
        <f t="shared" si="27"/>
        <v>2250000</v>
      </c>
      <c r="H229" s="154">
        <f t="shared" si="24"/>
        <v>340350155.55555552</v>
      </c>
      <c r="I229" s="155">
        <f t="shared" si="25"/>
        <v>22876934777.59893</v>
      </c>
    </row>
    <row r="230" spans="2:9" x14ac:dyDescent="0.25">
      <c r="B230" s="181">
        <v>198</v>
      </c>
      <c r="C230" s="144">
        <f t="shared" si="26"/>
        <v>3930164.3835616438</v>
      </c>
      <c r="D230" s="148">
        <f t="shared" si="22"/>
        <v>266998027.39726022</v>
      </c>
      <c r="F230" s="152">
        <f t="shared" si="23"/>
        <v>341510400</v>
      </c>
      <c r="G230" s="156">
        <f t="shared" si="27"/>
        <v>2250000</v>
      </c>
      <c r="H230" s="157">
        <f t="shared" si="24"/>
        <v>343760400</v>
      </c>
      <c r="I230" s="158">
        <f t="shared" si="25"/>
        <v>23220695177.59893</v>
      </c>
    </row>
    <row r="231" spans="2:9" x14ac:dyDescent="0.25">
      <c r="B231" s="181">
        <v>199</v>
      </c>
      <c r="C231" s="144">
        <f t="shared" si="26"/>
        <v>3969095.8904109597</v>
      </c>
      <c r="D231" s="148">
        <f t="shared" si="22"/>
        <v>270967123.28767121</v>
      </c>
      <c r="F231" s="151">
        <f t="shared" si="23"/>
        <v>344937755.55555558</v>
      </c>
      <c r="G231" s="153">
        <f t="shared" si="27"/>
        <v>2250000</v>
      </c>
      <c r="H231" s="154">
        <f t="shared" si="24"/>
        <v>347187755.55555558</v>
      </c>
      <c r="I231" s="155">
        <f t="shared" si="25"/>
        <v>23567882933.154488</v>
      </c>
    </row>
    <row r="232" spans="2:9" x14ac:dyDescent="0.25">
      <c r="B232" s="181">
        <v>200</v>
      </c>
      <c r="C232" s="144">
        <f t="shared" si="26"/>
        <v>4008219.1780821914</v>
      </c>
      <c r="D232" s="148">
        <f t="shared" si="22"/>
        <v>274975342.46575338</v>
      </c>
      <c r="F232" s="151">
        <f t="shared" si="23"/>
        <v>348382222.22222221</v>
      </c>
      <c r="G232" s="153">
        <f t="shared" si="27"/>
        <v>2250000</v>
      </c>
      <c r="H232" s="154">
        <f t="shared" si="24"/>
        <v>350632222.22222221</v>
      </c>
      <c r="I232" s="155">
        <f t="shared" si="25"/>
        <v>23918515155.376709</v>
      </c>
    </row>
    <row r="233" spans="2:9" x14ac:dyDescent="0.25">
      <c r="B233" s="181">
        <v>201</v>
      </c>
      <c r="C233" s="144">
        <f t="shared" si="26"/>
        <v>4047534.2465753425</v>
      </c>
      <c r="D233" s="148">
        <f t="shared" si="22"/>
        <v>279022876.71232873</v>
      </c>
      <c r="F233" s="151">
        <f t="shared" si="23"/>
        <v>351843800</v>
      </c>
      <c r="G233" s="153">
        <f t="shared" si="27"/>
        <v>2250000</v>
      </c>
      <c r="H233" s="154">
        <f t="shared" si="24"/>
        <v>354093800</v>
      </c>
      <c r="I233" s="155">
        <f t="shared" si="25"/>
        <v>24272608955.376709</v>
      </c>
    </row>
    <row r="234" spans="2:9" x14ac:dyDescent="0.25">
      <c r="B234" s="181">
        <v>202</v>
      </c>
      <c r="C234" s="144">
        <f t="shared" si="26"/>
        <v>4087041.0958904116</v>
      </c>
      <c r="D234" s="148">
        <f t="shared" si="22"/>
        <v>283109917.80821913</v>
      </c>
      <c r="F234" s="151">
        <f t="shared" si="23"/>
        <v>355322488.88888884</v>
      </c>
      <c r="G234" s="153">
        <f t="shared" si="27"/>
        <v>2250000</v>
      </c>
      <c r="H234" s="154">
        <f t="shared" si="24"/>
        <v>357572488.88888884</v>
      </c>
      <c r="I234" s="155">
        <f t="shared" si="25"/>
        <v>24630181444.265598</v>
      </c>
    </row>
    <row r="235" spans="2:9" x14ac:dyDescent="0.25">
      <c r="B235" s="181">
        <v>203</v>
      </c>
      <c r="C235" s="144">
        <f t="shared" si="26"/>
        <v>4126739.7260273974</v>
      </c>
      <c r="D235" s="148">
        <f t="shared" si="22"/>
        <v>287236657.5342465</v>
      </c>
      <c r="F235" s="151">
        <f t="shared" si="23"/>
        <v>358818288.8888889</v>
      </c>
      <c r="G235" s="153">
        <f t="shared" si="27"/>
        <v>2250000</v>
      </c>
      <c r="H235" s="154">
        <f t="shared" si="24"/>
        <v>361068288.8888889</v>
      </c>
      <c r="I235" s="155">
        <f t="shared" si="25"/>
        <v>24991249733.154488</v>
      </c>
    </row>
    <row r="236" spans="2:9" x14ac:dyDescent="0.25">
      <c r="B236" s="184">
        <v>204</v>
      </c>
      <c r="C236" s="159">
        <f t="shared" si="26"/>
        <v>4166630.1369863022</v>
      </c>
      <c r="D236" s="150">
        <f t="shared" si="22"/>
        <v>291403287.67123282</v>
      </c>
      <c r="F236" s="151">
        <f t="shared" si="23"/>
        <v>362331200</v>
      </c>
      <c r="G236" s="153">
        <f t="shared" si="27"/>
        <v>2250000</v>
      </c>
      <c r="H236" s="154">
        <f t="shared" si="24"/>
        <v>364581200</v>
      </c>
      <c r="I236" s="155">
        <f t="shared" si="25"/>
        <v>25355830933.154488</v>
      </c>
    </row>
    <row r="237" spans="2:9" x14ac:dyDescent="0.25">
      <c r="B237" s="181">
        <v>205</v>
      </c>
      <c r="C237" s="144">
        <f t="shared" si="26"/>
        <v>4206712.3287671236</v>
      </c>
      <c r="D237" s="148">
        <f t="shared" si="22"/>
        <v>295609999.99999994</v>
      </c>
      <c r="F237" s="152">
        <f t="shared" si="23"/>
        <v>365861222.22222221</v>
      </c>
      <c r="G237" s="156">
        <f t="shared" si="27"/>
        <v>2250000</v>
      </c>
      <c r="H237" s="157">
        <f t="shared" si="24"/>
        <v>368111222.22222221</v>
      </c>
      <c r="I237" s="158">
        <f t="shared" si="25"/>
        <v>25723942155.376709</v>
      </c>
    </row>
    <row r="238" spans="2:9" x14ac:dyDescent="0.25">
      <c r="B238" s="181">
        <v>206</v>
      </c>
      <c r="C238" s="144">
        <f t="shared" si="26"/>
        <v>4246986.3013698626</v>
      </c>
      <c r="D238" s="148">
        <f t="shared" ref="D238:D281" si="28">D237+C238</f>
        <v>299856986.30136979</v>
      </c>
      <c r="F238" s="151">
        <f t="shared" ref="F238:F281" si="29">$I$10*(G$19*$B238+G$20*$B238)*(1+G$20*$B238/(2*G$21))</f>
        <v>369408355.55555552</v>
      </c>
      <c r="G238" s="153">
        <f t="shared" si="27"/>
        <v>2250000</v>
      </c>
      <c r="H238" s="154">
        <f t="shared" ref="H238:H281" si="30">F238+G238</f>
        <v>371658355.55555552</v>
      </c>
      <c r="I238" s="155">
        <f t="shared" ref="I238:I281" si="31">I237+H238</f>
        <v>26095600510.932266</v>
      </c>
    </row>
    <row r="239" spans="2:9" x14ac:dyDescent="0.25">
      <c r="B239" s="181">
        <v>207</v>
      </c>
      <c r="C239" s="144">
        <f t="shared" si="26"/>
        <v>4287452.0547945211</v>
      </c>
      <c r="D239" s="148">
        <f t="shared" si="28"/>
        <v>304144438.35616434</v>
      </c>
      <c r="F239" s="151">
        <f t="shared" si="29"/>
        <v>372972600</v>
      </c>
      <c r="G239" s="153">
        <f t="shared" si="27"/>
        <v>2250000</v>
      </c>
      <c r="H239" s="154">
        <f t="shared" si="30"/>
        <v>375222600</v>
      </c>
      <c r="I239" s="155">
        <f t="shared" si="31"/>
        <v>26470823110.932266</v>
      </c>
    </row>
    <row r="240" spans="2:9" x14ac:dyDescent="0.25">
      <c r="B240" s="181">
        <v>208</v>
      </c>
      <c r="C240" s="144">
        <f t="shared" si="26"/>
        <v>4328109.5890410952</v>
      </c>
      <c r="D240" s="148">
        <f t="shared" si="28"/>
        <v>308472547.94520545</v>
      </c>
      <c r="F240" s="152">
        <f t="shared" si="29"/>
        <v>376553955.55555558</v>
      </c>
      <c r="G240" s="156">
        <f t="shared" si="27"/>
        <v>2250000</v>
      </c>
      <c r="H240" s="157">
        <f t="shared" si="30"/>
        <v>378803955.55555558</v>
      </c>
      <c r="I240" s="158">
        <f t="shared" si="31"/>
        <v>26849627066.487823</v>
      </c>
    </row>
    <row r="241" spans="2:9" x14ac:dyDescent="0.25">
      <c r="B241" s="181">
        <v>209</v>
      </c>
      <c r="C241" s="144">
        <f t="shared" si="26"/>
        <v>4368958.9041095898</v>
      </c>
      <c r="D241" s="148">
        <f t="shared" si="28"/>
        <v>312841506.84931505</v>
      </c>
      <c r="F241" s="151">
        <f t="shared" si="29"/>
        <v>380152422.22222221</v>
      </c>
      <c r="G241" s="153">
        <f t="shared" si="27"/>
        <v>2250000</v>
      </c>
      <c r="H241" s="154">
        <f t="shared" si="30"/>
        <v>382402422.22222221</v>
      </c>
      <c r="I241" s="155">
        <f t="shared" si="31"/>
        <v>27232029488.710045</v>
      </c>
    </row>
    <row r="242" spans="2:9" x14ac:dyDescent="0.25">
      <c r="B242" s="181">
        <v>210</v>
      </c>
      <c r="C242" s="144">
        <f t="shared" si="26"/>
        <v>4409999.9999999991</v>
      </c>
      <c r="D242" s="148">
        <f t="shared" si="28"/>
        <v>317251506.84931505</v>
      </c>
      <c r="F242" s="151">
        <f t="shared" si="29"/>
        <v>383767999.99999994</v>
      </c>
      <c r="G242" s="153">
        <f t="shared" si="27"/>
        <v>2250000</v>
      </c>
      <c r="H242" s="154">
        <f t="shared" si="30"/>
        <v>386017999.99999994</v>
      </c>
      <c r="I242" s="155">
        <f t="shared" si="31"/>
        <v>27618047488.710045</v>
      </c>
    </row>
    <row r="243" spans="2:9" x14ac:dyDescent="0.25">
      <c r="B243" s="181">
        <v>211</v>
      </c>
      <c r="C243" s="144">
        <f t="shared" si="26"/>
        <v>4451232.8767123288</v>
      </c>
      <c r="D243" s="148">
        <f t="shared" si="28"/>
        <v>321702739.72602737</v>
      </c>
      <c r="F243" s="151">
        <f t="shared" si="29"/>
        <v>387400688.88888884</v>
      </c>
      <c r="G243" s="153">
        <f t="shared" si="27"/>
        <v>2250000</v>
      </c>
      <c r="H243" s="154">
        <f t="shared" si="30"/>
        <v>389650688.88888884</v>
      </c>
      <c r="I243" s="155">
        <f t="shared" si="31"/>
        <v>28007698177.598934</v>
      </c>
    </row>
    <row r="244" spans="2:9" x14ac:dyDescent="0.25">
      <c r="B244" s="181">
        <v>212</v>
      </c>
      <c r="C244" s="144">
        <f t="shared" si="26"/>
        <v>4492657.534246576</v>
      </c>
      <c r="D244" s="148">
        <f t="shared" si="28"/>
        <v>326195397.26027393</v>
      </c>
      <c r="F244" s="151">
        <f t="shared" si="29"/>
        <v>391050488.8888889</v>
      </c>
      <c r="G244" s="153">
        <f t="shared" si="27"/>
        <v>2250000</v>
      </c>
      <c r="H244" s="154">
        <f t="shared" si="30"/>
        <v>393300488.8888889</v>
      </c>
      <c r="I244" s="155">
        <f t="shared" si="31"/>
        <v>28400998666.487823</v>
      </c>
    </row>
    <row r="245" spans="2:9" x14ac:dyDescent="0.25">
      <c r="B245" s="181">
        <v>213</v>
      </c>
      <c r="C245" s="144">
        <f t="shared" si="26"/>
        <v>4534273.9726027399</v>
      </c>
      <c r="D245" s="148">
        <f t="shared" si="28"/>
        <v>330729671.23287666</v>
      </c>
      <c r="F245" s="151">
        <f t="shared" si="29"/>
        <v>394717400</v>
      </c>
      <c r="G245" s="153">
        <f t="shared" si="27"/>
        <v>2250000</v>
      </c>
      <c r="H245" s="154">
        <f t="shared" si="30"/>
        <v>396967400</v>
      </c>
      <c r="I245" s="155">
        <f t="shared" si="31"/>
        <v>28797966066.487823</v>
      </c>
    </row>
    <row r="246" spans="2:9" x14ac:dyDescent="0.25">
      <c r="B246" s="184">
        <v>214</v>
      </c>
      <c r="C246" s="159">
        <f t="shared" si="26"/>
        <v>4576082.1917808224</v>
      </c>
      <c r="D246" s="150">
        <f t="shared" si="28"/>
        <v>335305753.42465746</v>
      </c>
      <c r="F246" s="151">
        <f t="shared" si="29"/>
        <v>398401422.22222221</v>
      </c>
      <c r="G246" s="153">
        <f t="shared" si="27"/>
        <v>2250000</v>
      </c>
      <c r="H246" s="154">
        <f t="shared" si="30"/>
        <v>400651422.22222221</v>
      </c>
      <c r="I246" s="155">
        <f t="shared" si="31"/>
        <v>29198617488.710045</v>
      </c>
    </row>
    <row r="247" spans="2:9" x14ac:dyDescent="0.25">
      <c r="B247" s="181">
        <v>215</v>
      </c>
      <c r="C247" s="144">
        <f t="shared" si="26"/>
        <v>4618082.1917808224</v>
      </c>
      <c r="D247" s="148">
        <f t="shared" si="28"/>
        <v>339923835.61643827</v>
      </c>
      <c r="F247" s="152">
        <f t="shared" si="29"/>
        <v>402102555.55555552</v>
      </c>
      <c r="G247" s="156">
        <f t="shared" si="27"/>
        <v>2250000</v>
      </c>
      <c r="H247" s="157">
        <f t="shared" si="30"/>
        <v>404352555.55555552</v>
      </c>
      <c r="I247" s="158">
        <f t="shared" si="31"/>
        <v>29602970044.265602</v>
      </c>
    </row>
    <row r="248" spans="2:9" x14ac:dyDescent="0.25">
      <c r="B248" s="181">
        <v>216</v>
      </c>
      <c r="C248" s="144">
        <f t="shared" si="26"/>
        <v>4660273.972602739</v>
      </c>
      <c r="D248" s="148">
        <f t="shared" si="28"/>
        <v>344584109.58904099</v>
      </c>
      <c r="F248" s="151">
        <f t="shared" si="29"/>
        <v>405820800</v>
      </c>
      <c r="G248" s="153">
        <f t="shared" si="27"/>
        <v>2250000</v>
      </c>
      <c r="H248" s="154">
        <f t="shared" si="30"/>
        <v>408070800</v>
      </c>
      <c r="I248" s="155">
        <f t="shared" si="31"/>
        <v>30011040844.265602</v>
      </c>
    </row>
    <row r="249" spans="2:9" x14ac:dyDescent="0.25">
      <c r="B249" s="181">
        <v>217</v>
      </c>
      <c r="C249" s="144">
        <f t="shared" si="26"/>
        <v>4702657.534246576</v>
      </c>
      <c r="D249" s="148">
        <f t="shared" si="28"/>
        <v>349286767.12328756</v>
      </c>
      <c r="F249" s="151">
        <f t="shared" si="29"/>
        <v>409556155.55555558</v>
      </c>
      <c r="G249" s="153">
        <f t="shared" si="27"/>
        <v>2250000</v>
      </c>
      <c r="H249" s="154">
        <f t="shared" si="30"/>
        <v>411806155.55555558</v>
      </c>
      <c r="I249" s="155">
        <f t="shared" si="31"/>
        <v>30422846999.821159</v>
      </c>
    </row>
    <row r="250" spans="2:9" x14ac:dyDescent="0.25">
      <c r="B250" s="181">
        <v>218</v>
      </c>
      <c r="C250" s="144">
        <f t="shared" si="26"/>
        <v>4745232.8767123278</v>
      </c>
      <c r="D250" s="148">
        <f t="shared" si="28"/>
        <v>354031999.99999988</v>
      </c>
      <c r="F250" s="152">
        <f t="shared" si="29"/>
        <v>413308622.22222221</v>
      </c>
      <c r="G250" s="156">
        <f t="shared" si="27"/>
        <v>2250000</v>
      </c>
      <c r="H250" s="157">
        <f t="shared" si="30"/>
        <v>415558622.22222221</v>
      </c>
      <c r="I250" s="158">
        <f t="shared" si="31"/>
        <v>30838405622.043381</v>
      </c>
    </row>
    <row r="251" spans="2:9" x14ac:dyDescent="0.25">
      <c r="B251" s="181">
        <v>219</v>
      </c>
      <c r="C251" s="144">
        <f t="shared" si="26"/>
        <v>4788000</v>
      </c>
      <c r="D251" s="148">
        <f t="shared" si="28"/>
        <v>358819999.99999988</v>
      </c>
      <c r="F251" s="151">
        <f t="shared" si="29"/>
        <v>417078199.99999994</v>
      </c>
      <c r="G251" s="153">
        <f t="shared" si="27"/>
        <v>2250000</v>
      </c>
      <c r="H251" s="154">
        <f t="shared" si="30"/>
        <v>419328199.99999994</v>
      </c>
      <c r="I251" s="155">
        <f t="shared" si="31"/>
        <v>31257733822.043381</v>
      </c>
    </row>
    <row r="252" spans="2:9" x14ac:dyDescent="0.25">
      <c r="B252" s="181">
        <v>220</v>
      </c>
      <c r="C252" s="144">
        <f t="shared" si="26"/>
        <v>4830958.9041095888</v>
      </c>
      <c r="D252" s="148">
        <f t="shared" si="28"/>
        <v>363650958.90410948</v>
      </c>
      <c r="F252" s="151">
        <f t="shared" si="29"/>
        <v>420864888.88888884</v>
      </c>
      <c r="G252" s="153">
        <f t="shared" si="27"/>
        <v>2250000</v>
      </c>
      <c r="H252" s="154">
        <f t="shared" si="30"/>
        <v>423114888.88888884</v>
      </c>
      <c r="I252" s="155">
        <f t="shared" si="31"/>
        <v>31680848710.93227</v>
      </c>
    </row>
    <row r="253" spans="2:9" x14ac:dyDescent="0.25">
      <c r="B253" s="181">
        <v>221</v>
      </c>
      <c r="C253" s="144">
        <f t="shared" si="26"/>
        <v>4874109.5890410952</v>
      </c>
      <c r="D253" s="148">
        <f t="shared" si="28"/>
        <v>368525068.49315059</v>
      </c>
      <c r="F253" s="151">
        <f t="shared" si="29"/>
        <v>424668688.8888889</v>
      </c>
      <c r="G253" s="153">
        <f t="shared" si="27"/>
        <v>2250000</v>
      </c>
      <c r="H253" s="154">
        <f t="shared" si="30"/>
        <v>426918688.8888889</v>
      </c>
      <c r="I253" s="155">
        <f t="shared" si="31"/>
        <v>32107767399.821159</v>
      </c>
    </row>
    <row r="254" spans="2:9" x14ac:dyDescent="0.25">
      <c r="B254" s="181">
        <v>222</v>
      </c>
      <c r="C254" s="144">
        <f t="shared" si="26"/>
        <v>4917452.0547945211</v>
      </c>
      <c r="D254" s="148">
        <f t="shared" si="28"/>
        <v>373442520.54794514</v>
      </c>
      <c r="F254" s="151">
        <f t="shared" si="29"/>
        <v>428489600</v>
      </c>
      <c r="G254" s="153">
        <f t="shared" si="27"/>
        <v>2250000</v>
      </c>
      <c r="H254" s="154">
        <f t="shared" si="30"/>
        <v>430739600</v>
      </c>
      <c r="I254" s="155">
        <f t="shared" si="31"/>
        <v>32538506999.821159</v>
      </c>
    </row>
    <row r="255" spans="2:9" x14ac:dyDescent="0.25">
      <c r="B255" s="181">
        <v>223</v>
      </c>
      <c r="C255" s="144">
        <f t="shared" si="26"/>
        <v>4960986.3013698636</v>
      </c>
      <c r="D255" s="148">
        <f t="shared" si="28"/>
        <v>378403506.84931499</v>
      </c>
      <c r="F255" s="151">
        <f t="shared" si="29"/>
        <v>432327622.22222221</v>
      </c>
      <c r="G255" s="153">
        <f t="shared" si="27"/>
        <v>2250000</v>
      </c>
      <c r="H255" s="154">
        <f t="shared" si="30"/>
        <v>434577622.22222221</v>
      </c>
      <c r="I255" s="155">
        <f t="shared" si="31"/>
        <v>32973084622.043381</v>
      </c>
    </row>
    <row r="256" spans="2:9" x14ac:dyDescent="0.25">
      <c r="B256" s="184">
        <v>224</v>
      </c>
      <c r="C256" s="159">
        <f t="shared" si="26"/>
        <v>5004712.3287671236</v>
      </c>
      <c r="D256" s="150">
        <f t="shared" si="28"/>
        <v>383408219.17808211</v>
      </c>
      <c r="F256" s="151">
        <f t="shared" si="29"/>
        <v>436182755.55555552</v>
      </c>
      <c r="G256" s="153">
        <f t="shared" si="27"/>
        <v>2250000</v>
      </c>
      <c r="H256" s="154">
        <f t="shared" si="30"/>
        <v>438432755.55555552</v>
      </c>
      <c r="I256" s="155">
        <f t="shared" si="31"/>
        <v>33411517377.598938</v>
      </c>
    </row>
    <row r="257" spans="2:9" x14ac:dyDescent="0.25">
      <c r="B257" s="181">
        <v>225</v>
      </c>
      <c r="C257" s="144">
        <f t="shared" si="26"/>
        <v>5048630.1369863013</v>
      </c>
      <c r="D257" s="148">
        <f t="shared" si="28"/>
        <v>388456849.31506842</v>
      </c>
      <c r="F257" s="152">
        <f t="shared" si="29"/>
        <v>440055000</v>
      </c>
      <c r="G257" s="156">
        <f t="shared" si="27"/>
        <v>2250000</v>
      </c>
      <c r="H257" s="157">
        <f t="shared" si="30"/>
        <v>442305000</v>
      </c>
      <c r="I257" s="158">
        <f t="shared" si="31"/>
        <v>33853822377.598938</v>
      </c>
    </row>
    <row r="258" spans="2:9" x14ac:dyDescent="0.25">
      <c r="B258" s="181">
        <v>226</v>
      </c>
      <c r="C258" s="144">
        <f t="shared" si="26"/>
        <v>5092739.7260273965</v>
      </c>
      <c r="D258" s="148">
        <f t="shared" si="28"/>
        <v>393549589.04109579</v>
      </c>
      <c r="F258" s="151">
        <f t="shared" si="29"/>
        <v>443944355.55555558</v>
      </c>
      <c r="G258" s="153">
        <f t="shared" si="27"/>
        <v>2250000</v>
      </c>
      <c r="H258" s="154">
        <f t="shared" si="30"/>
        <v>446194355.55555558</v>
      </c>
      <c r="I258" s="155">
        <f t="shared" si="31"/>
        <v>34300016733.154495</v>
      </c>
    </row>
    <row r="259" spans="2:9" x14ac:dyDescent="0.25">
      <c r="B259" s="181">
        <v>227</v>
      </c>
      <c r="C259" s="144">
        <f t="shared" si="26"/>
        <v>5137041.0958904112</v>
      </c>
      <c r="D259" s="148">
        <f t="shared" si="28"/>
        <v>398686630.1369862</v>
      </c>
      <c r="F259" s="151">
        <f t="shared" si="29"/>
        <v>447850822.22222221</v>
      </c>
      <c r="G259" s="153">
        <f t="shared" si="27"/>
        <v>2250000</v>
      </c>
      <c r="H259" s="154">
        <f t="shared" si="30"/>
        <v>450100822.22222221</v>
      </c>
      <c r="I259" s="155">
        <f t="shared" si="31"/>
        <v>34750117555.376717</v>
      </c>
    </row>
    <row r="260" spans="2:9" x14ac:dyDescent="0.25">
      <c r="B260" s="181">
        <v>228</v>
      </c>
      <c r="C260" s="144">
        <f t="shared" si="26"/>
        <v>5181534.2465753416</v>
      </c>
      <c r="D260" s="148">
        <f t="shared" si="28"/>
        <v>403868164.38356155</v>
      </c>
      <c r="F260" s="152">
        <f t="shared" si="29"/>
        <v>451774399.99999994</v>
      </c>
      <c r="G260" s="156">
        <f t="shared" si="27"/>
        <v>2250000</v>
      </c>
      <c r="H260" s="157">
        <f t="shared" si="30"/>
        <v>454024399.99999994</v>
      </c>
      <c r="I260" s="158">
        <f t="shared" si="31"/>
        <v>35204141955.376717</v>
      </c>
    </row>
    <row r="261" spans="2:9" x14ac:dyDescent="0.25">
      <c r="B261" s="181">
        <v>229</v>
      </c>
      <c r="C261" s="144">
        <f t="shared" si="26"/>
        <v>5226219.1780821923</v>
      </c>
      <c r="D261" s="148">
        <f t="shared" si="28"/>
        <v>409094383.56164372</v>
      </c>
      <c r="F261" s="151">
        <f t="shared" si="29"/>
        <v>455715088.8888889</v>
      </c>
      <c r="G261" s="153">
        <f t="shared" si="27"/>
        <v>2250000</v>
      </c>
      <c r="H261" s="154">
        <f t="shared" si="30"/>
        <v>457965088.8888889</v>
      </c>
      <c r="I261" s="155">
        <f t="shared" si="31"/>
        <v>35662107044.265602</v>
      </c>
    </row>
    <row r="262" spans="2:9" x14ac:dyDescent="0.25">
      <c r="B262" s="181">
        <v>230</v>
      </c>
      <c r="C262" s="144">
        <f t="shared" si="26"/>
        <v>5271095.8904109579</v>
      </c>
      <c r="D262" s="148">
        <f t="shared" si="28"/>
        <v>414365479.45205468</v>
      </c>
      <c r="F262" s="151">
        <f t="shared" si="29"/>
        <v>459672888.8888889</v>
      </c>
      <c r="G262" s="153">
        <f t="shared" si="27"/>
        <v>2250000</v>
      </c>
      <c r="H262" s="154">
        <f t="shared" si="30"/>
        <v>461922888.8888889</v>
      </c>
      <c r="I262" s="155">
        <f t="shared" si="31"/>
        <v>36124029933.154488</v>
      </c>
    </row>
    <row r="263" spans="2:9" x14ac:dyDescent="0.25">
      <c r="B263" s="181">
        <v>231</v>
      </c>
      <c r="C263" s="144">
        <f t="shared" si="26"/>
        <v>5316164.3835616428</v>
      </c>
      <c r="D263" s="148">
        <f t="shared" si="28"/>
        <v>419681643.83561635</v>
      </c>
      <c r="F263" s="151">
        <f t="shared" si="29"/>
        <v>463647800.00000006</v>
      </c>
      <c r="G263" s="153">
        <f t="shared" si="27"/>
        <v>2250000</v>
      </c>
      <c r="H263" s="154">
        <f t="shared" si="30"/>
        <v>465897800.00000006</v>
      </c>
      <c r="I263" s="155">
        <f t="shared" si="31"/>
        <v>36589927733.154488</v>
      </c>
    </row>
    <row r="264" spans="2:9" x14ac:dyDescent="0.25">
      <c r="B264" s="181">
        <v>232</v>
      </c>
      <c r="C264" s="144">
        <f t="shared" si="26"/>
        <v>5361424.6575342473</v>
      </c>
      <c r="D264" s="148">
        <f t="shared" si="28"/>
        <v>425043068.49315059</v>
      </c>
      <c r="F264" s="151">
        <f t="shared" si="29"/>
        <v>467639822.22222221</v>
      </c>
      <c r="G264" s="153">
        <f t="shared" si="27"/>
        <v>2250000</v>
      </c>
      <c r="H264" s="154">
        <f t="shared" si="30"/>
        <v>469889822.22222221</v>
      </c>
      <c r="I264" s="155">
        <f t="shared" si="31"/>
        <v>37059817555.376709</v>
      </c>
    </row>
    <row r="265" spans="2:9" x14ac:dyDescent="0.25">
      <c r="B265" s="181">
        <v>233</v>
      </c>
      <c r="C265" s="144">
        <f t="shared" si="26"/>
        <v>5406876.7123287674</v>
      </c>
      <c r="D265" s="148">
        <f t="shared" si="28"/>
        <v>430449945.20547938</v>
      </c>
      <c r="F265" s="152">
        <f t="shared" si="29"/>
        <v>471648955.55555552</v>
      </c>
      <c r="G265" s="156">
        <f t="shared" si="27"/>
        <v>2250000</v>
      </c>
      <c r="H265" s="157">
        <f t="shared" si="30"/>
        <v>473898955.55555552</v>
      </c>
      <c r="I265" s="158">
        <f t="shared" si="31"/>
        <v>37533716510.932266</v>
      </c>
    </row>
    <row r="266" spans="2:9" x14ac:dyDescent="0.25">
      <c r="B266" s="181">
        <v>234</v>
      </c>
      <c r="C266" s="144">
        <f t="shared" si="26"/>
        <v>5452520.5479452061</v>
      </c>
      <c r="D266" s="148">
        <f t="shared" si="28"/>
        <v>435902465.75342458</v>
      </c>
      <c r="F266" s="151">
        <f t="shared" si="29"/>
        <v>475675200</v>
      </c>
      <c r="G266" s="153">
        <f t="shared" si="27"/>
        <v>2250000</v>
      </c>
      <c r="H266" s="154">
        <f t="shared" si="30"/>
        <v>477925200</v>
      </c>
      <c r="I266" s="155">
        <f t="shared" si="31"/>
        <v>38011641710.932266</v>
      </c>
    </row>
    <row r="267" spans="2:9" x14ac:dyDescent="0.25">
      <c r="B267" s="181">
        <v>235</v>
      </c>
      <c r="C267" s="144">
        <f t="shared" si="26"/>
        <v>5498356.1643835614</v>
      </c>
      <c r="D267" s="148">
        <f t="shared" si="28"/>
        <v>441400821.91780818</v>
      </c>
      <c r="F267" s="151">
        <f t="shared" si="29"/>
        <v>479718555.55555552</v>
      </c>
      <c r="G267" s="153">
        <f t="shared" si="27"/>
        <v>2250000</v>
      </c>
      <c r="H267" s="154">
        <f t="shared" si="30"/>
        <v>481968555.55555552</v>
      </c>
      <c r="I267" s="155">
        <f t="shared" si="31"/>
        <v>38493610266.487823</v>
      </c>
    </row>
    <row r="268" spans="2:9" x14ac:dyDescent="0.25">
      <c r="B268" s="181">
        <v>236</v>
      </c>
      <c r="C268" s="144">
        <f t="shared" si="26"/>
        <v>5544383.5616438352</v>
      </c>
      <c r="D268" s="148">
        <f t="shared" si="28"/>
        <v>446945205.47945201</v>
      </c>
      <c r="F268" s="151">
        <f t="shared" si="29"/>
        <v>483779022.22222221</v>
      </c>
      <c r="G268" s="153">
        <f t="shared" si="27"/>
        <v>2250000</v>
      </c>
      <c r="H268" s="154">
        <f t="shared" si="30"/>
        <v>486029022.22222221</v>
      </c>
      <c r="I268" s="155">
        <f t="shared" si="31"/>
        <v>38979639288.710045</v>
      </c>
    </row>
    <row r="269" spans="2:9" x14ac:dyDescent="0.25">
      <c r="B269" s="181">
        <v>237</v>
      </c>
      <c r="C269" s="144">
        <f t="shared" si="26"/>
        <v>5590602.7397260275</v>
      </c>
      <c r="D269" s="148">
        <f t="shared" si="28"/>
        <v>452535808.21917802</v>
      </c>
      <c r="F269" s="151">
        <f t="shared" si="29"/>
        <v>487856599.99999994</v>
      </c>
      <c r="G269" s="153">
        <f t="shared" si="27"/>
        <v>2250000</v>
      </c>
      <c r="H269" s="154">
        <f t="shared" si="30"/>
        <v>490106599.99999994</v>
      </c>
      <c r="I269" s="155">
        <f t="shared" si="31"/>
        <v>39469745888.710045</v>
      </c>
    </row>
    <row r="270" spans="2:9" x14ac:dyDescent="0.25">
      <c r="B270" s="181">
        <v>238</v>
      </c>
      <c r="C270" s="144">
        <f t="shared" si="26"/>
        <v>5637013.6986301364</v>
      </c>
      <c r="D270" s="148">
        <f t="shared" si="28"/>
        <v>458172821.91780818</v>
      </c>
      <c r="F270" s="151">
        <f t="shared" si="29"/>
        <v>491951288.8888889</v>
      </c>
      <c r="G270" s="153">
        <f t="shared" si="27"/>
        <v>2250000</v>
      </c>
      <c r="H270" s="154">
        <f t="shared" si="30"/>
        <v>494201288.8888889</v>
      </c>
      <c r="I270" s="155">
        <f t="shared" si="31"/>
        <v>39963947177.59893</v>
      </c>
    </row>
    <row r="271" spans="2:9" x14ac:dyDescent="0.25">
      <c r="B271" s="181">
        <v>239</v>
      </c>
      <c r="C271" s="144">
        <f t="shared" si="26"/>
        <v>5683616.4383561648</v>
      </c>
      <c r="D271" s="148">
        <f t="shared" si="28"/>
        <v>463856438.35616434</v>
      </c>
      <c r="F271" s="151">
        <f t="shared" si="29"/>
        <v>496063088.88888884</v>
      </c>
      <c r="G271" s="153">
        <f t="shared" si="27"/>
        <v>2250000</v>
      </c>
      <c r="H271" s="154">
        <f t="shared" si="30"/>
        <v>498313088.88888884</v>
      </c>
      <c r="I271" s="155">
        <f t="shared" si="31"/>
        <v>40462260266.487816</v>
      </c>
    </row>
    <row r="272" spans="2:9" x14ac:dyDescent="0.25">
      <c r="B272" s="181">
        <v>240</v>
      </c>
      <c r="C272" s="144">
        <f t="shared" si="26"/>
        <v>5730410.958904109</v>
      </c>
      <c r="D272" s="148">
        <f t="shared" si="28"/>
        <v>469586849.31506842</v>
      </c>
      <c r="F272" s="151">
        <f t="shared" si="29"/>
        <v>500192000.00000006</v>
      </c>
      <c r="G272" s="153">
        <f t="shared" si="27"/>
        <v>2250000</v>
      </c>
      <c r="H272" s="154">
        <f t="shared" si="30"/>
        <v>502442000.00000006</v>
      </c>
      <c r="I272" s="155">
        <f t="shared" si="31"/>
        <v>40964702266.487816</v>
      </c>
    </row>
    <row r="273" spans="2:9" x14ac:dyDescent="0.25">
      <c r="B273" s="181">
        <v>241</v>
      </c>
      <c r="C273" s="144">
        <f t="shared" si="26"/>
        <v>5777397.2602739725</v>
      </c>
      <c r="D273" s="148">
        <f t="shared" si="28"/>
        <v>475364246.57534242</v>
      </c>
      <c r="F273" s="152">
        <f t="shared" si="29"/>
        <v>504338022.22222221</v>
      </c>
      <c r="G273" s="156">
        <f t="shared" si="27"/>
        <v>2250000</v>
      </c>
      <c r="H273" s="157">
        <f t="shared" si="30"/>
        <v>506588022.22222221</v>
      </c>
      <c r="I273" s="158">
        <f t="shared" si="31"/>
        <v>41471290288.710037</v>
      </c>
    </row>
    <row r="274" spans="2:9" x14ac:dyDescent="0.25">
      <c r="B274" s="181">
        <v>242</v>
      </c>
      <c r="C274" s="144">
        <f t="shared" si="26"/>
        <v>5824575.3424657546</v>
      </c>
      <c r="D274" s="148">
        <f t="shared" si="28"/>
        <v>481188821.91780818</v>
      </c>
      <c r="F274" s="151">
        <f t="shared" si="29"/>
        <v>508501155.55555552</v>
      </c>
      <c r="G274" s="153">
        <f t="shared" si="27"/>
        <v>2250000</v>
      </c>
      <c r="H274" s="154">
        <f t="shared" si="30"/>
        <v>510751155.55555552</v>
      </c>
      <c r="I274" s="155">
        <f t="shared" si="31"/>
        <v>41982041444.265594</v>
      </c>
    </row>
    <row r="275" spans="2:9" x14ac:dyDescent="0.25">
      <c r="B275" s="181">
        <v>243</v>
      </c>
      <c r="C275" s="144">
        <f t="shared" si="26"/>
        <v>5871945.2054794524</v>
      </c>
      <c r="D275" s="148">
        <f t="shared" si="28"/>
        <v>487060767.12328762</v>
      </c>
      <c r="F275" s="151">
        <f t="shared" si="29"/>
        <v>512681400</v>
      </c>
      <c r="G275" s="153">
        <f t="shared" si="27"/>
        <v>2250000</v>
      </c>
      <c r="H275" s="154">
        <f t="shared" si="30"/>
        <v>514931400</v>
      </c>
      <c r="I275" s="155">
        <f t="shared" si="31"/>
        <v>42496972844.265594</v>
      </c>
    </row>
    <row r="276" spans="2:9" x14ac:dyDescent="0.25">
      <c r="B276" s="181">
        <v>244</v>
      </c>
      <c r="C276" s="144">
        <f t="shared" si="26"/>
        <v>5919506.8493150696</v>
      </c>
      <c r="D276" s="148">
        <f t="shared" si="28"/>
        <v>492980273.97260267</v>
      </c>
      <c r="F276" s="151">
        <f t="shared" si="29"/>
        <v>516878755.55555552</v>
      </c>
      <c r="G276" s="153">
        <f t="shared" si="27"/>
        <v>2250000</v>
      </c>
      <c r="H276" s="154">
        <f t="shared" si="30"/>
        <v>519128755.55555552</v>
      </c>
      <c r="I276" s="155">
        <f t="shared" si="31"/>
        <v>43016101599.821152</v>
      </c>
    </row>
    <row r="277" spans="2:9" x14ac:dyDescent="0.25">
      <c r="B277" s="181">
        <v>245</v>
      </c>
      <c r="C277" s="144">
        <f t="shared" si="26"/>
        <v>5967260.2739726026</v>
      </c>
      <c r="D277" s="148">
        <f t="shared" si="28"/>
        <v>498947534.2465753</v>
      </c>
      <c r="F277" s="151">
        <f t="shared" si="29"/>
        <v>521093222.22222221</v>
      </c>
      <c r="G277" s="153">
        <f t="shared" si="27"/>
        <v>2250000</v>
      </c>
      <c r="H277" s="154">
        <f t="shared" si="30"/>
        <v>523343222.22222221</v>
      </c>
      <c r="I277" s="155">
        <f t="shared" si="31"/>
        <v>43539444822.043373</v>
      </c>
    </row>
    <row r="278" spans="2:9" x14ac:dyDescent="0.25">
      <c r="B278" s="181">
        <v>246</v>
      </c>
      <c r="C278" s="144">
        <f t="shared" si="26"/>
        <v>6015205.4794520549</v>
      </c>
      <c r="D278" s="148">
        <f t="shared" si="28"/>
        <v>504962739.72602737</v>
      </c>
      <c r="F278" s="151">
        <f t="shared" si="29"/>
        <v>525324799.99999994</v>
      </c>
      <c r="G278" s="153">
        <f t="shared" si="27"/>
        <v>2250000</v>
      </c>
      <c r="H278" s="154">
        <f t="shared" si="30"/>
        <v>527574799.99999994</v>
      </c>
      <c r="I278" s="155">
        <f t="shared" si="31"/>
        <v>44067019622.043373</v>
      </c>
    </row>
    <row r="279" spans="2:9" x14ac:dyDescent="0.25">
      <c r="B279" s="181">
        <v>247</v>
      </c>
      <c r="C279" s="144">
        <f t="shared" si="26"/>
        <v>6063342.4657534249</v>
      </c>
      <c r="D279" s="148">
        <f t="shared" si="28"/>
        <v>511026082.19178081</v>
      </c>
      <c r="F279" s="151">
        <f t="shared" si="29"/>
        <v>529573488.8888889</v>
      </c>
      <c r="G279" s="153">
        <f t="shared" si="27"/>
        <v>2250000</v>
      </c>
      <c r="H279" s="154">
        <f t="shared" si="30"/>
        <v>531823488.8888889</v>
      </c>
      <c r="I279" s="155">
        <f t="shared" si="31"/>
        <v>44598843110.932259</v>
      </c>
    </row>
    <row r="280" spans="2:9" x14ac:dyDescent="0.25">
      <c r="B280" s="181">
        <v>248</v>
      </c>
      <c r="C280" s="144">
        <f t="shared" si="26"/>
        <v>6111671.2328767125</v>
      </c>
      <c r="D280" s="148">
        <f t="shared" si="28"/>
        <v>517137753.42465752</v>
      </c>
      <c r="F280" s="151">
        <f t="shared" si="29"/>
        <v>533839288.88888884</v>
      </c>
      <c r="G280" s="153">
        <f t="shared" si="27"/>
        <v>2250000</v>
      </c>
      <c r="H280" s="154">
        <f t="shared" si="30"/>
        <v>536089288.88888884</v>
      </c>
      <c r="I280" s="155">
        <f t="shared" si="31"/>
        <v>45134932399.821144</v>
      </c>
    </row>
    <row r="281" spans="2:9" x14ac:dyDescent="0.25">
      <c r="B281" s="181">
        <v>249</v>
      </c>
      <c r="C281" s="144">
        <f t="shared" si="26"/>
        <v>6160191.7808219185</v>
      </c>
      <c r="D281" s="148">
        <f t="shared" si="28"/>
        <v>523297945.20547944</v>
      </c>
      <c r="F281" s="151">
        <f t="shared" si="29"/>
        <v>538122200</v>
      </c>
      <c r="G281" s="153">
        <f t="shared" si="27"/>
        <v>2250000</v>
      </c>
      <c r="H281" s="154">
        <f t="shared" si="30"/>
        <v>540372200</v>
      </c>
      <c r="I281" s="155">
        <f t="shared" si="31"/>
        <v>45675304599.821144</v>
      </c>
    </row>
  </sheetData>
  <mergeCells count="3">
    <mergeCell ref="B18:D18"/>
    <mergeCell ref="F18:I18"/>
    <mergeCell ref="E2:J2"/>
  </mergeCells>
  <pageMargins left="0.7" right="0.7" top="0.75" bottom="0.75" header="0.3" footer="0.3"/>
  <pageSetup paperSize="9" orientation="portrait" verticalDpi="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8"/>
  <sheetViews>
    <sheetView zoomScale="98" zoomScaleNormal="98" workbookViewId="0">
      <selection activeCell="L41" sqref="L41"/>
    </sheetView>
  </sheetViews>
  <sheetFormatPr defaultRowHeight="15" x14ac:dyDescent="0.25"/>
  <cols>
    <col min="2" max="2" width="35.5703125" customWidth="1"/>
    <col min="3" max="3" width="15.42578125" customWidth="1"/>
    <col min="4" max="4" width="14.7109375" customWidth="1"/>
    <col min="5" max="5" width="18" customWidth="1"/>
    <col min="7" max="7" width="14.7109375" customWidth="1"/>
  </cols>
  <sheetData>
    <row r="2" spans="2:10" ht="18.75" x14ac:dyDescent="0.3">
      <c r="B2" s="43" t="s">
        <v>94</v>
      </c>
      <c r="C2" s="42"/>
      <c r="D2" s="42"/>
      <c r="E2" s="42"/>
    </row>
    <row r="3" spans="2:10" ht="18.75" x14ac:dyDescent="0.3">
      <c r="B3" s="160" t="s">
        <v>93</v>
      </c>
      <c r="C3" s="161"/>
      <c r="D3" s="161"/>
      <c r="E3" s="161"/>
      <c r="F3" s="162"/>
      <c r="G3" s="162"/>
      <c r="H3" s="162"/>
      <c r="I3" s="162"/>
      <c r="J3" s="163"/>
    </row>
    <row r="4" spans="2:10" ht="18.75" x14ac:dyDescent="0.3">
      <c r="B4" s="164" t="s">
        <v>92</v>
      </c>
      <c r="C4" s="165"/>
      <c r="D4" s="165"/>
      <c r="E4" s="165"/>
      <c r="F4" s="166"/>
      <c r="G4" s="166"/>
      <c r="H4" s="166"/>
      <c r="I4" s="166"/>
      <c r="J4" s="167"/>
    </row>
    <row r="5" spans="2:10" ht="18.75" x14ac:dyDescent="0.3">
      <c r="B5" s="164" t="s">
        <v>91</v>
      </c>
      <c r="C5" s="165"/>
      <c r="D5" s="165"/>
      <c r="E5" s="165"/>
      <c r="F5" s="166"/>
      <c r="G5" s="166"/>
      <c r="H5" s="166"/>
      <c r="I5" s="166"/>
      <c r="J5" s="167"/>
    </row>
    <row r="6" spans="2:10" ht="18.75" x14ac:dyDescent="0.3">
      <c r="B6" s="164" t="s">
        <v>90</v>
      </c>
      <c r="C6" s="165"/>
      <c r="D6" s="165"/>
      <c r="E6" s="165"/>
      <c r="F6" s="166"/>
      <c r="G6" s="166"/>
      <c r="H6" s="166"/>
      <c r="I6" s="166"/>
      <c r="J6" s="167"/>
    </row>
    <row r="7" spans="2:10" ht="15.75" x14ac:dyDescent="0.25">
      <c r="B7" s="168" t="s">
        <v>89</v>
      </c>
      <c r="C7" s="169"/>
      <c r="D7" s="169"/>
      <c r="E7" s="169"/>
      <c r="F7" s="169"/>
      <c r="G7" s="169"/>
      <c r="H7" s="169"/>
      <c r="I7" s="169"/>
      <c r="J7" s="170"/>
    </row>
    <row r="8" spans="2:10" ht="15.75" x14ac:dyDescent="0.25">
      <c r="B8" s="41"/>
    </row>
    <row r="9" spans="2:10" x14ac:dyDescent="0.25">
      <c r="B9" t="s">
        <v>88</v>
      </c>
      <c r="E9" t="s">
        <v>87</v>
      </c>
      <c r="I9" t="s">
        <v>86</v>
      </c>
    </row>
    <row r="10" spans="2:10" x14ac:dyDescent="0.25">
      <c r="B10" t="s">
        <v>85</v>
      </c>
      <c r="C10" s="4" t="s">
        <v>84</v>
      </c>
      <c r="E10" t="s">
        <v>83</v>
      </c>
      <c r="I10" t="s">
        <v>79</v>
      </c>
    </row>
    <row r="11" spans="2:10" x14ac:dyDescent="0.25">
      <c r="B11" t="s">
        <v>82</v>
      </c>
      <c r="C11" s="4" t="s">
        <v>81</v>
      </c>
      <c r="E11" t="s">
        <v>80</v>
      </c>
      <c r="I11" t="s">
        <v>79</v>
      </c>
      <c r="J11" t="s">
        <v>78</v>
      </c>
    </row>
    <row r="12" spans="2:10" x14ac:dyDescent="0.25">
      <c r="B12" t="s">
        <v>77</v>
      </c>
      <c r="C12" s="4" t="s">
        <v>76</v>
      </c>
      <c r="E12" t="s">
        <v>75</v>
      </c>
      <c r="I12" t="s">
        <v>74</v>
      </c>
    </row>
    <row r="13" spans="2:10" x14ac:dyDescent="0.25">
      <c r="B13" t="s">
        <v>73</v>
      </c>
      <c r="C13" s="4" t="s">
        <v>72</v>
      </c>
      <c r="E13" t="s">
        <v>71</v>
      </c>
      <c r="I13" t="s">
        <v>70</v>
      </c>
    </row>
    <row r="14" spans="2:10" x14ac:dyDescent="0.25">
      <c r="B14" t="s">
        <v>17</v>
      </c>
      <c r="C14" s="4" t="s">
        <v>69</v>
      </c>
      <c r="E14" t="s">
        <v>68</v>
      </c>
    </row>
    <row r="15" spans="2:10" x14ac:dyDescent="0.25">
      <c r="B15" t="s">
        <v>67</v>
      </c>
      <c r="C15" s="4" t="s">
        <v>66</v>
      </c>
      <c r="E15" s="238" t="s">
        <v>296</v>
      </c>
      <c r="F15" s="239"/>
      <c r="G15" s="239"/>
    </row>
    <row r="16" spans="2:10" x14ac:dyDescent="0.25">
      <c r="B16" t="s">
        <v>65</v>
      </c>
      <c r="C16" s="4" t="s">
        <v>64</v>
      </c>
      <c r="E16" s="239"/>
      <c r="F16" s="239"/>
      <c r="G16" s="239"/>
      <c r="I16" t="s">
        <v>63</v>
      </c>
    </row>
    <row r="17" spans="2:12" x14ac:dyDescent="0.25">
      <c r="B17" t="s">
        <v>62</v>
      </c>
      <c r="C17" s="4" t="s">
        <v>61</v>
      </c>
      <c r="E17" s="239"/>
      <c r="F17" s="239"/>
      <c r="G17" s="239"/>
    </row>
    <row r="18" spans="2:12" x14ac:dyDescent="0.25">
      <c r="B18" t="s">
        <v>60</v>
      </c>
      <c r="C18" s="4" t="s">
        <v>59</v>
      </c>
      <c r="E18" t="s">
        <v>58</v>
      </c>
      <c r="I18" t="s">
        <v>57</v>
      </c>
      <c r="K18" t="s">
        <v>56</v>
      </c>
    </row>
    <row r="19" spans="2:12" x14ac:dyDescent="0.25">
      <c r="B19" t="s">
        <v>55</v>
      </c>
      <c r="C19" s="4" t="s">
        <v>54</v>
      </c>
      <c r="E19" t="s">
        <v>46</v>
      </c>
      <c r="I19" t="s">
        <v>53</v>
      </c>
    </row>
    <row r="20" spans="2:12" x14ac:dyDescent="0.25">
      <c r="E20" t="s">
        <v>52</v>
      </c>
      <c r="I20" s="21" t="s">
        <v>51</v>
      </c>
      <c r="J20" s="21"/>
      <c r="K20" t="s">
        <v>50</v>
      </c>
    </row>
    <row r="21" spans="2:12" x14ac:dyDescent="0.25">
      <c r="E21" t="s">
        <v>49</v>
      </c>
      <c r="I21" t="s">
        <v>48</v>
      </c>
      <c r="K21" t="s">
        <v>47</v>
      </c>
    </row>
    <row r="22" spans="2:12" x14ac:dyDescent="0.25">
      <c r="E22" t="s">
        <v>46</v>
      </c>
      <c r="I22" t="s">
        <v>45</v>
      </c>
    </row>
    <row r="23" spans="2:12" x14ac:dyDescent="0.25">
      <c r="E23" t="s">
        <v>44</v>
      </c>
      <c r="I23" s="21" t="s">
        <v>43</v>
      </c>
      <c r="J23" s="21"/>
      <c r="K23" t="s">
        <v>42</v>
      </c>
    </row>
    <row r="24" spans="2:12" x14ac:dyDescent="0.25">
      <c r="E24" t="s">
        <v>41</v>
      </c>
      <c r="I24" s="21" t="s">
        <v>40</v>
      </c>
      <c r="J24" s="21"/>
    </row>
    <row r="25" spans="2:12" x14ac:dyDescent="0.25">
      <c r="E25" s="34" t="s">
        <v>39</v>
      </c>
      <c r="F25" s="33"/>
      <c r="G25" s="33"/>
      <c r="H25" s="33"/>
      <c r="I25" s="34" t="s">
        <v>38</v>
      </c>
      <c r="J25" s="34"/>
      <c r="K25" s="33"/>
    </row>
    <row r="27" spans="2:12" x14ac:dyDescent="0.25">
      <c r="E27" s="27" t="s">
        <v>37</v>
      </c>
      <c r="F27" s="26"/>
      <c r="G27" s="26"/>
      <c r="H27" s="26"/>
      <c r="I27" s="27"/>
      <c r="J27" s="27"/>
      <c r="K27" s="26"/>
    </row>
    <row r="28" spans="2:12" x14ac:dyDescent="0.25">
      <c r="E28" s="39" t="s">
        <v>36</v>
      </c>
      <c r="F28" s="38"/>
      <c r="G28" s="38"/>
      <c r="H28" s="26"/>
      <c r="I28" s="39" t="s">
        <v>35</v>
      </c>
      <c r="J28" s="39" t="s">
        <v>34</v>
      </c>
      <c r="K28" s="38"/>
      <c r="L28" s="37"/>
    </row>
    <row r="29" spans="2:12" x14ac:dyDescent="0.25">
      <c r="E29" s="39" t="s">
        <v>33</v>
      </c>
      <c r="F29" s="38"/>
      <c r="G29" s="38"/>
      <c r="H29" s="26"/>
      <c r="I29" s="39" t="s">
        <v>32</v>
      </c>
      <c r="J29" s="39"/>
      <c r="K29" s="38"/>
      <c r="L29" s="37"/>
    </row>
    <row r="30" spans="2:12" x14ac:dyDescent="0.25">
      <c r="E30" s="39" t="s">
        <v>31</v>
      </c>
      <c r="F30" s="38"/>
      <c r="G30" s="38"/>
      <c r="H30" s="26"/>
      <c r="I30" s="39" t="s">
        <v>30</v>
      </c>
      <c r="J30" s="39"/>
      <c r="K30" s="38"/>
      <c r="L30" s="37"/>
    </row>
    <row r="31" spans="2:12" x14ac:dyDescent="0.25">
      <c r="E31" s="36" t="s">
        <v>29</v>
      </c>
      <c r="F31" s="35"/>
      <c r="G31" s="35"/>
      <c r="H31" s="33"/>
      <c r="I31" s="34" t="s">
        <v>28</v>
      </c>
      <c r="J31" s="34"/>
      <c r="K31" s="33"/>
    </row>
    <row r="32" spans="2:12" x14ac:dyDescent="0.25">
      <c r="E32" s="27"/>
      <c r="F32" s="26"/>
      <c r="G32" s="26"/>
      <c r="H32" s="26"/>
      <c r="I32" s="27"/>
      <c r="J32" s="27"/>
      <c r="K32" s="26"/>
    </row>
    <row r="33" spans="2:11" x14ac:dyDescent="0.25">
      <c r="J33" s="27"/>
      <c r="K33" s="26"/>
    </row>
    <row r="34" spans="2:11" x14ac:dyDescent="0.25">
      <c r="B34" s="32" t="s">
        <v>27</v>
      </c>
      <c r="C34" s="31" t="s">
        <v>26</v>
      </c>
      <c r="D34" s="31" t="s">
        <v>25</v>
      </c>
      <c r="E34" s="27"/>
      <c r="F34" s="26"/>
      <c r="G34" s="26"/>
      <c r="H34" s="26"/>
      <c r="I34" s="27"/>
      <c r="J34" s="27"/>
      <c r="K34" s="26"/>
    </row>
    <row r="35" spans="2:11" x14ac:dyDescent="0.25">
      <c r="B35" s="30" t="s">
        <v>24</v>
      </c>
      <c r="C35" s="28">
        <v>0.2</v>
      </c>
      <c r="D35" s="28">
        <v>0.5</v>
      </c>
      <c r="E35" s="27"/>
      <c r="F35" s="26"/>
      <c r="G35" s="26"/>
      <c r="H35" s="26"/>
      <c r="I35" s="27"/>
      <c r="J35" s="27"/>
      <c r="K35" s="26"/>
    </row>
    <row r="36" spans="2:11" x14ac:dyDescent="0.25">
      <c r="B36" s="30" t="s">
        <v>23</v>
      </c>
      <c r="C36" s="28">
        <v>0.5</v>
      </c>
      <c r="D36" s="28">
        <v>1.5</v>
      </c>
      <c r="E36" s="27"/>
      <c r="F36" s="26"/>
      <c r="G36" s="26"/>
      <c r="H36" s="26"/>
      <c r="I36" s="27"/>
      <c r="J36" s="27"/>
      <c r="K36" s="26"/>
    </row>
    <row r="37" spans="2:11" x14ac:dyDescent="0.25">
      <c r="B37" s="185" t="s">
        <v>299</v>
      </c>
      <c r="C37" s="186"/>
      <c r="D37" s="186"/>
      <c r="E37" s="186"/>
      <c r="F37" s="187"/>
      <c r="G37" s="186"/>
      <c r="H37" s="186"/>
      <c r="I37" s="187"/>
      <c r="J37" s="27"/>
      <c r="K37" s="26"/>
    </row>
    <row r="38" spans="2:11" x14ac:dyDescent="0.25">
      <c r="B38" s="25" t="s">
        <v>22</v>
      </c>
      <c r="G38" s="4" t="s">
        <v>21</v>
      </c>
      <c r="I38" s="21"/>
      <c r="J38" s="21"/>
    </row>
    <row r="39" spans="2:11" x14ac:dyDescent="0.25">
      <c r="B39" s="192" t="s">
        <v>304</v>
      </c>
      <c r="C39" s="193">
        <v>50000</v>
      </c>
      <c r="G39" s="4"/>
      <c r="I39" s="21"/>
      <c r="J39" s="21"/>
    </row>
    <row r="40" spans="2:11" x14ac:dyDescent="0.25">
      <c r="B40" s="192" t="s">
        <v>305</v>
      </c>
      <c r="C40" s="195">
        <v>100</v>
      </c>
      <c r="G40" s="4"/>
      <c r="I40" s="21"/>
      <c r="J40" s="21"/>
    </row>
    <row r="41" spans="2:11" x14ac:dyDescent="0.25">
      <c r="B41" s="192" t="s">
        <v>306</v>
      </c>
      <c r="C41" s="194">
        <v>0.5</v>
      </c>
      <c r="G41" s="4"/>
      <c r="I41" s="21"/>
      <c r="J41" s="21"/>
    </row>
    <row r="42" spans="2:11" x14ac:dyDescent="0.25">
      <c r="B42" s="21" t="s">
        <v>300</v>
      </c>
      <c r="C42" s="23">
        <v>2</v>
      </c>
      <c r="D42" t="s">
        <v>18</v>
      </c>
      <c r="G42" s="4">
        <v>2</v>
      </c>
    </row>
    <row r="43" spans="2:11" x14ac:dyDescent="0.25">
      <c r="B43" s="21" t="s">
        <v>301</v>
      </c>
      <c r="C43" s="23">
        <v>1</v>
      </c>
      <c r="D43" t="s">
        <v>18</v>
      </c>
      <c r="E43" s="24"/>
      <c r="G43" s="4">
        <v>1</v>
      </c>
    </row>
    <row r="44" spans="2:11" x14ac:dyDescent="0.25">
      <c r="B44" s="21" t="s">
        <v>302</v>
      </c>
      <c r="C44" s="191">
        <f>($C$43*$C$50)/(2*($C$42+$C$43)*(($C$45/$C$50)-1))</f>
        <v>0.75117370892018775</v>
      </c>
      <c r="D44" t="s">
        <v>6</v>
      </c>
      <c r="E44" t="s">
        <v>16</v>
      </c>
      <c r="G44" s="4">
        <v>1</v>
      </c>
    </row>
    <row r="45" spans="2:11" x14ac:dyDescent="0.25">
      <c r="B45" s="21" t="s">
        <v>15</v>
      </c>
      <c r="C45" s="23">
        <v>1500</v>
      </c>
      <c r="D45" t="s">
        <v>6</v>
      </c>
      <c r="G45" s="4">
        <v>4970</v>
      </c>
    </row>
    <row r="46" spans="2:11" x14ac:dyDescent="0.25">
      <c r="B46" s="21" t="s">
        <v>14</v>
      </c>
      <c r="C46" s="196">
        <f>$C$39*$C$40*$C$41</f>
        <v>2500000</v>
      </c>
      <c r="D46" t="s">
        <v>10</v>
      </c>
      <c r="G46" s="4">
        <v>2500000</v>
      </c>
    </row>
    <row r="47" spans="2:11" x14ac:dyDescent="0.25">
      <c r="B47" s="21" t="s">
        <v>13</v>
      </c>
      <c r="C47" s="23">
        <v>0.9</v>
      </c>
      <c r="D47" t="s">
        <v>12</v>
      </c>
      <c r="G47" s="4">
        <v>0.1</v>
      </c>
    </row>
    <row r="48" spans="2:11" x14ac:dyDescent="0.25">
      <c r="B48" s="21" t="s">
        <v>303</v>
      </c>
      <c r="C48" s="188">
        <f>(1-C47)*C46</f>
        <v>249999.99999999994</v>
      </c>
      <c r="D48" t="s">
        <v>10</v>
      </c>
      <c r="E48" s="22"/>
      <c r="G48" s="189">
        <v>2250000</v>
      </c>
    </row>
    <row r="49" spans="2:7" x14ac:dyDescent="0.25">
      <c r="B49" s="21" t="s">
        <v>9</v>
      </c>
      <c r="C49" s="20">
        <f>C48/C45</f>
        <v>166.66666666666663</v>
      </c>
      <c r="D49" t="s">
        <v>8</v>
      </c>
      <c r="G49" s="190">
        <v>452.7162977867203</v>
      </c>
    </row>
    <row r="50" spans="2:7" x14ac:dyDescent="0.25">
      <c r="B50" s="19" t="s">
        <v>7</v>
      </c>
      <c r="C50" s="18">
        <v>80</v>
      </c>
      <c r="D50" s="17" t="s">
        <v>6</v>
      </c>
      <c r="E50" s="16"/>
      <c r="G50" s="3"/>
    </row>
    <row r="51" spans="2:7" x14ac:dyDescent="0.25">
      <c r="E51" s="15" t="s">
        <v>5</v>
      </c>
      <c r="G51" s="3"/>
    </row>
    <row r="52" spans="2:7" x14ac:dyDescent="0.25">
      <c r="B52" s="14" t="s">
        <v>4</v>
      </c>
      <c r="C52" s="13" t="s">
        <v>3</v>
      </c>
      <c r="D52" s="12" t="s">
        <v>2</v>
      </c>
      <c r="E52" s="5" t="s">
        <v>1</v>
      </c>
      <c r="F52" s="11" t="s">
        <v>0</v>
      </c>
    </row>
    <row r="53" spans="2:7" x14ac:dyDescent="0.25">
      <c r="B53" s="181">
        <v>1</v>
      </c>
      <c r="C53" s="10">
        <f t="shared" ref="C53:C84" si="0">IF(((1-C$47)*C$46/C$45)*(C$42*$B53+C$43*$B53)*(1+C$43*$B53/(2*C$44))&gt;((1-C$47)*C$46),((1-C$47)*C$46),((1-C$47)*C$46/C$45)*(C$42*$B53+C$43*$B53)*(1+C$43*$B53/(2*C$44)))</f>
        <v>832.81249999999977</v>
      </c>
      <c r="D53" s="9">
        <f>C53</f>
        <v>832.81249999999977</v>
      </c>
      <c r="E53" s="6">
        <f t="shared" ref="E53:E84" si="1">(C$42*$B53+C$43*$B53)*(1+C$43*$B53/(2*C$44))</f>
        <v>4.9968749999999993</v>
      </c>
      <c r="F53" s="5">
        <f t="shared" ref="F53:F84" si="2">(C$42+C$43)*B53</f>
        <v>3</v>
      </c>
      <c r="G53" s="3"/>
    </row>
    <row r="54" spans="2:7" x14ac:dyDescent="0.25">
      <c r="B54" s="181">
        <v>2</v>
      </c>
      <c r="C54" s="10">
        <f t="shared" si="0"/>
        <v>2331.2499999999991</v>
      </c>
      <c r="D54" s="9">
        <f t="shared" ref="D54:D85" si="3">D53+C54</f>
        <v>3164.0624999999991</v>
      </c>
      <c r="E54" s="6">
        <f t="shared" si="1"/>
        <v>13.987499999999999</v>
      </c>
      <c r="F54" s="5">
        <f t="shared" si="2"/>
        <v>6</v>
      </c>
      <c r="G54" s="3"/>
    </row>
    <row r="55" spans="2:7" x14ac:dyDescent="0.25">
      <c r="B55" s="181">
        <v>3</v>
      </c>
      <c r="C55" s="10">
        <f t="shared" si="0"/>
        <v>4495.3124999999991</v>
      </c>
      <c r="D55" s="9">
        <f t="shared" si="3"/>
        <v>7659.3749999999982</v>
      </c>
      <c r="E55" s="6">
        <f t="shared" si="1"/>
        <v>26.971875000000001</v>
      </c>
      <c r="F55" s="5">
        <f t="shared" si="2"/>
        <v>9</v>
      </c>
      <c r="G55" s="3"/>
    </row>
    <row r="56" spans="2:7" x14ac:dyDescent="0.25">
      <c r="B56" s="181">
        <v>4</v>
      </c>
      <c r="C56" s="10">
        <f t="shared" si="0"/>
        <v>7324.9999999999982</v>
      </c>
      <c r="D56" s="9">
        <f t="shared" si="3"/>
        <v>14984.374999999996</v>
      </c>
      <c r="E56" s="6">
        <f t="shared" si="1"/>
        <v>43.95</v>
      </c>
      <c r="F56" s="5">
        <f t="shared" si="2"/>
        <v>12</v>
      </c>
      <c r="G56" s="3"/>
    </row>
    <row r="57" spans="2:7" x14ac:dyDescent="0.25">
      <c r="B57" s="181">
        <v>5</v>
      </c>
      <c r="C57" s="10">
        <f t="shared" si="0"/>
        <v>10820.312499999998</v>
      </c>
      <c r="D57" s="9">
        <f t="shared" si="3"/>
        <v>25804.687499999993</v>
      </c>
      <c r="E57" s="6">
        <f t="shared" si="1"/>
        <v>64.921875</v>
      </c>
      <c r="F57" s="5">
        <f t="shared" si="2"/>
        <v>15</v>
      </c>
      <c r="G57" s="3"/>
    </row>
    <row r="58" spans="2:7" x14ac:dyDescent="0.25">
      <c r="B58" s="181">
        <v>6</v>
      </c>
      <c r="C58" s="10">
        <f t="shared" si="0"/>
        <v>14981.249999999996</v>
      </c>
      <c r="D58" s="9">
        <f t="shared" si="3"/>
        <v>40785.937499999985</v>
      </c>
      <c r="E58" s="6">
        <f t="shared" si="1"/>
        <v>89.887500000000003</v>
      </c>
      <c r="F58" s="5">
        <f t="shared" si="2"/>
        <v>18</v>
      </c>
      <c r="G58" s="3"/>
    </row>
    <row r="59" spans="2:7" x14ac:dyDescent="0.25">
      <c r="B59" s="181">
        <v>7</v>
      </c>
      <c r="C59" s="10">
        <f t="shared" si="0"/>
        <v>19807.812499999993</v>
      </c>
      <c r="D59" s="9">
        <f t="shared" si="3"/>
        <v>60593.749999999978</v>
      </c>
      <c r="E59" s="6">
        <f t="shared" si="1"/>
        <v>118.846875</v>
      </c>
      <c r="F59" s="5">
        <f t="shared" si="2"/>
        <v>21</v>
      </c>
      <c r="G59" s="3"/>
    </row>
    <row r="60" spans="2:7" x14ac:dyDescent="0.25">
      <c r="B60" s="181">
        <v>8</v>
      </c>
      <c r="C60" s="10">
        <f t="shared" si="0"/>
        <v>25299.999999999996</v>
      </c>
      <c r="D60" s="9">
        <f t="shared" si="3"/>
        <v>85893.749999999971</v>
      </c>
      <c r="E60" s="6">
        <f t="shared" si="1"/>
        <v>151.80000000000001</v>
      </c>
      <c r="F60" s="5">
        <f t="shared" si="2"/>
        <v>24</v>
      </c>
      <c r="G60" s="3"/>
    </row>
    <row r="61" spans="2:7" x14ac:dyDescent="0.25">
      <c r="B61" s="181">
        <v>9</v>
      </c>
      <c r="C61" s="10">
        <f t="shared" si="0"/>
        <v>31457.812499999996</v>
      </c>
      <c r="D61" s="9">
        <f t="shared" si="3"/>
        <v>117351.56249999997</v>
      </c>
      <c r="E61" s="6">
        <f t="shared" si="1"/>
        <v>188.74687500000002</v>
      </c>
      <c r="F61" s="5">
        <f t="shared" si="2"/>
        <v>27</v>
      </c>
      <c r="G61" s="3"/>
    </row>
    <row r="62" spans="2:7" x14ac:dyDescent="0.25">
      <c r="B62" s="181">
        <v>10</v>
      </c>
      <c r="C62" s="10">
        <f t="shared" si="0"/>
        <v>38281.249999999993</v>
      </c>
      <c r="D62" s="9">
        <f t="shared" si="3"/>
        <v>155632.81249999997</v>
      </c>
      <c r="E62" s="6">
        <f t="shared" si="1"/>
        <v>229.6875</v>
      </c>
      <c r="F62" s="5">
        <f t="shared" si="2"/>
        <v>30</v>
      </c>
      <c r="G62" s="3"/>
    </row>
    <row r="63" spans="2:7" x14ac:dyDescent="0.25">
      <c r="B63" s="181">
        <v>11</v>
      </c>
      <c r="C63" s="10">
        <f t="shared" si="0"/>
        <v>45770.312499999993</v>
      </c>
      <c r="D63" s="9">
        <f t="shared" si="3"/>
        <v>201403.12499999997</v>
      </c>
      <c r="E63" s="6">
        <f t="shared" si="1"/>
        <v>274.62187499999999</v>
      </c>
      <c r="F63" s="5">
        <f t="shared" si="2"/>
        <v>33</v>
      </c>
      <c r="G63" s="3"/>
    </row>
    <row r="64" spans="2:7" x14ac:dyDescent="0.25">
      <c r="B64" s="181">
        <v>12</v>
      </c>
      <c r="C64" s="10">
        <f t="shared" si="0"/>
        <v>53924.999999999985</v>
      </c>
      <c r="D64" s="9">
        <f t="shared" si="3"/>
        <v>255328.12499999994</v>
      </c>
      <c r="E64" s="6">
        <f t="shared" si="1"/>
        <v>323.55</v>
      </c>
      <c r="F64" s="5">
        <f t="shared" si="2"/>
        <v>36</v>
      </c>
      <c r="G64" s="3"/>
    </row>
    <row r="65" spans="2:7" x14ac:dyDescent="0.25">
      <c r="B65" s="181">
        <v>13</v>
      </c>
      <c r="C65" s="10">
        <f t="shared" si="0"/>
        <v>62745.312499999993</v>
      </c>
      <c r="D65" s="9">
        <f t="shared" si="3"/>
        <v>318073.43749999994</v>
      </c>
      <c r="E65" s="6">
        <f t="shared" si="1"/>
        <v>376.47187500000007</v>
      </c>
      <c r="F65" s="5">
        <f t="shared" si="2"/>
        <v>39</v>
      </c>
      <c r="G65" s="3"/>
    </row>
    <row r="66" spans="2:7" x14ac:dyDescent="0.25">
      <c r="B66" s="181">
        <v>14</v>
      </c>
      <c r="C66" s="10">
        <f t="shared" si="0"/>
        <v>72231.249999999985</v>
      </c>
      <c r="D66" s="9">
        <f t="shared" si="3"/>
        <v>390304.68749999994</v>
      </c>
      <c r="E66" s="6">
        <f t="shared" si="1"/>
        <v>433.38749999999999</v>
      </c>
      <c r="F66" s="5">
        <f t="shared" si="2"/>
        <v>42</v>
      </c>
      <c r="G66" s="3"/>
    </row>
    <row r="67" spans="2:7" x14ac:dyDescent="0.25">
      <c r="B67" s="181">
        <v>15</v>
      </c>
      <c r="C67" s="10">
        <f t="shared" si="0"/>
        <v>82382.812499999985</v>
      </c>
      <c r="D67" s="9">
        <f t="shared" si="3"/>
        <v>472687.49999999994</v>
      </c>
      <c r="E67" s="6">
        <f t="shared" si="1"/>
        <v>494.296875</v>
      </c>
      <c r="F67" s="5">
        <f t="shared" si="2"/>
        <v>45</v>
      </c>
      <c r="G67" s="3"/>
    </row>
    <row r="68" spans="2:7" x14ac:dyDescent="0.25">
      <c r="B68" s="181">
        <v>16</v>
      </c>
      <c r="C68" s="10">
        <f t="shared" si="0"/>
        <v>93199.999999999985</v>
      </c>
      <c r="D68" s="9">
        <f t="shared" si="3"/>
        <v>565887.49999999988</v>
      </c>
      <c r="E68" s="6">
        <f t="shared" si="1"/>
        <v>559.20000000000005</v>
      </c>
      <c r="F68" s="5">
        <f t="shared" si="2"/>
        <v>48</v>
      </c>
      <c r="G68" s="3"/>
    </row>
    <row r="69" spans="2:7" x14ac:dyDescent="0.25">
      <c r="B69" s="181">
        <v>17</v>
      </c>
      <c r="C69" s="10">
        <f t="shared" si="0"/>
        <v>104682.81249999999</v>
      </c>
      <c r="D69" s="9">
        <f t="shared" si="3"/>
        <v>670570.31249999988</v>
      </c>
      <c r="E69" s="6">
        <f t="shared" si="1"/>
        <v>628.09687500000007</v>
      </c>
      <c r="F69" s="5">
        <f t="shared" si="2"/>
        <v>51</v>
      </c>
      <c r="G69" s="3"/>
    </row>
    <row r="70" spans="2:7" x14ac:dyDescent="0.25">
      <c r="B70" s="181">
        <v>18</v>
      </c>
      <c r="C70" s="10">
        <f t="shared" si="0"/>
        <v>116831.24999999999</v>
      </c>
      <c r="D70" s="9">
        <f t="shared" si="3"/>
        <v>787401.56249999988</v>
      </c>
      <c r="E70" s="6">
        <f t="shared" si="1"/>
        <v>700.98750000000007</v>
      </c>
      <c r="F70" s="5">
        <f t="shared" si="2"/>
        <v>54</v>
      </c>
      <c r="G70" s="3"/>
    </row>
    <row r="71" spans="2:7" x14ac:dyDescent="0.25">
      <c r="B71" s="181">
        <v>19</v>
      </c>
      <c r="C71" s="10">
        <f t="shared" si="0"/>
        <v>129645.31249999999</v>
      </c>
      <c r="D71" s="9">
        <f t="shared" si="3"/>
        <v>917046.87499999988</v>
      </c>
      <c r="E71" s="6">
        <f t="shared" si="1"/>
        <v>777.87187500000005</v>
      </c>
      <c r="F71" s="5">
        <f t="shared" si="2"/>
        <v>57</v>
      </c>
      <c r="G71" s="3"/>
    </row>
    <row r="72" spans="2:7" x14ac:dyDescent="0.25">
      <c r="B72" s="181">
        <v>20</v>
      </c>
      <c r="C72" s="10">
        <f t="shared" si="0"/>
        <v>143124.99999999997</v>
      </c>
      <c r="D72" s="9">
        <f t="shared" si="3"/>
        <v>1060171.8749999998</v>
      </c>
      <c r="E72" s="6">
        <f t="shared" si="1"/>
        <v>858.75</v>
      </c>
      <c r="F72" s="5">
        <f t="shared" si="2"/>
        <v>60</v>
      </c>
      <c r="G72" s="3"/>
    </row>
    <row r="73" spans="2:7" x14ac:dyDescent="0.25">
      <c r="B73" s="181">
        <v>21</v>
      </c>
      <c r="C73" s="10">
        <f t="shared" si="0"/>
        <v>157270.31249999997</v>
      </c>
      <c r="D73" s="9">
        <f t="shared" si="3"/>
        <v>1217442.1874999998</v>
      </c>
      <c r="E73" s="6">
        <f t="shared" si="1"/>
        <v>943.62187500000005</v>
      </c>
      <c r="F73" s="5">
        <f t="shared" si="2"/>
        <v>63</v>
      </c>
      <c r="G73" s="3"/>
    </row>
    <row r="74" spans="2:7" x14ac:dyDescent="0.25">
      <c r="B74" s="181">
        <v>22</v>
      </c>
      <c r="C74" s="10">
        <f t="shared" si="0"/>
        <v>172081.24999999997</v>
      </c>
      <c r="D74" s="9">
        <f t="shared" si="3"/>
        <v>1389523.4374999998</v>
      </c>
      <c r="E74" s="6">
        <f t="shared" si="1"/>
        <v>1032.4875</v>
      </c>
      <c r="F74" s="5">
        <f t="shared" si="2"/>
        <v>66</v>
      </c>
      <c r="G74" s="3"/>
    </row>
    <row r="75" spans="2:7" x14ac:dyDescent="0.25">
      <c r="B75" s="181">
        <v>23</v>
      </c>
      <c r="C75" s="10">
        <f t="shared" si="0"/>
        <v>187557.8125</v>
      </c>
      <c r="D75" s="9">
        <f t="shared" si="3"/>
        <v>1577081.2499999998</v>
      </c>
      <c r="E75" s="6">
        <f t="shared" si="1"/>
        <v>1125.3468750000002</v>
      </c>
      <c r="F75" s="5">
        <f t="shared" si="2"/>
        <v>69</v>
      </c>
      <c r="G75" s="3"/>
    </row>
    <row r="76" spans="2:7" x14ac:dyDescent="0.25">
      <c r="B76" s="181">
        <v>24</v>
      </c>
      <c r="C76" s="10">
        <f t="shared" si="0"/>
        <v>203699.99999999994</v>
      </c>
      <c r="D76" s="9">
        <f t="shared" si="3"/>
        <v>1780781.2499999998</v>
      </c>
      <c r="E76" s="6">
        <f t="shared" si="1"/>
        <v>1222.2</v>
      </c>
      <c r="F76" s="5">
        <f t="shared" si="2"/>
        <v>72</v>
      </c>
      <c r="G76" s="3"/>
    </row>
    <row r="77" spans="2:7" x14ac:dyDescent="0.25">
      <c r="B77" s="181">
        <v>25</v>
      </c>
      <c r="C77" s="10">
        <f t="shared" si="0"/>
        <v>220507.81249999994</v>
      </c>
      <c r="D77" s="9">
        <f t="shared" si="3"/>
        <v>2001289.0624999998</v>
      </c>
      <c r="E77" s="6">
        <f t="shared" si="1"/>
        <v>1323.046875</v>
      </c>
      <c r="F77" s="5">
        <f t="shared" si="2"/>
        <v>75</v>
      </c>
      <c r="G77" s="3"/>
    </row>
    <row r="78" spans="2:7" x14ac:dyDescent="0.25">
      <c r="B78" s="181">
        <v>26</v>
      </c>
      <c r="C78" s="10">
        <f t="shared" si="0"/>
        <v>237981.24999999997</v>
      </c>
      <c r="D78" s="9">
        <f t="shared" si="3"/>
        <v>2239270.3124999995</v>
      </c>
      <c r="E78" s="6">
        <f t="shared" si="1"/>
        <v>1427.8875000000003</v>
      </c>
      <c r="F78" s="5">
        <f t="shared" si="2"/>
        <v>78</v>
      </c>
      <c r="G78" s="3"/>
    </row>
    <row r="79" spans="2:7" x14ac:dyDescent="0.25">
      <c r="B79" s="181">
        <v>27</v>
      </c>
      <c r="C79" s="10">
        <f t="shared" si="0"/>
        <v>249999.99999999994</v>
      </c>
      <c r="D79" s="9">
        <f t="shared" si="3"/>
        <v>2489270.3124999995</v>
      </c>
      <c r="E79" s="6">
        <f t="shared" si="1"/>
        <v>1536.721875</v>
      </c>
      <c r="F79" s="5">
        <f t="shared" si="2"/>
        <v>81</v>
      </c>
      <c r="G79" s="3"/>
    </row>
    <row r="80" spans="2:7" x14ac:dyDescent="0.25">
      <c r="B80" s="181">
        <v>28</v>
      </c>
      <c r="C80" s="10">
        <f t="shared" si="0"/>
        <v>249999.99999999994</v>
      </c>
      <c r="D80" s="9">
        <f t="shared" si="3"/>
        <v>2739270.3124999995</v>
      </c>
      <c r="E80" s="6">
        <f t="shared" si="1"/>
        <v>1649.55</v>
      </c>
      <c r="F80" s="5">
        <f t="shared" si="2"/>
        <v>84</v>
      </c>
      <c r="G80" s="3"/>
    </row>
    <row r="81" spans="2:7" x14ac:dyDescent="0.25">
      <c r="B81" s="181">
        <v>29</v>
      </c>
      <c r="C81" s="10">
        <f t="shared" si="0"/>
        <v>249999.99999999994</v>
      </c>
      <c r="D81" s="9">
        <f t="shared" si="3"/>
        <v>2989270.3124999995</v>
      </c>
      <c r="E81" s="6">
        <f t="shared" si="1"/>
        <v>1766.371875</v>
      </c>
      <c r="F81" s="5">
        <f t="shared" si="2"/>
        <v>87</v>
      </c>
      <c r="G81" s="3"/>
    </row>
    <row r="82" spans="2:7" x14ac:dyDescent="0.25">
      <c r="B82" s="181">
        <v>30</v>
      </c>
      <c r="C82" s="10">
        <f t="shared" si="0"/>
        <v>249999.99999999994</v>
      </c>
      <c r="D82" s="9">
        <f t="shared" si="3"/>
        <v>3239270.3124999995</v>
      </c>
      <c r="E82" s="6">
        <f t="shared" si="1"/>
        <v>1887.1875</v>
      </c>
      <c r="F82" s="5">
        <f t="shared" si="2"/>
        <v>90</v>
      </c>
      <c r="G82" s="3"/>
    </row>
    <row r="83" spans="2:7" x14ac:dyDescent="0.25">
      <c r="B83" s="181">
        <v>31</v>
      </c>
      <c r="C83" s="10">
        <f t="shared" si="0"/>
        <v>249999.99999999994</v>
      </c>
      <c r="D83" s="9">
        <f t="shared" si="3"/>
        <v>3489270.3124999995</v>
      </c>
      <c r="E83" s="6">
        <f t="shared" si="1"/>
        <v>2011.9968750000003</v>
      </c>
      <c r="F83" s="5">
        <f t="shared" si="2"/>
        <v>93</v>
      </c>
      <c r="G83" s="3"/>
    </row>
    <row r="84" spans="2:7" x14ac:dyDescent="0.25">
      <c r="B84" s="181">
        <v>32</v>
      </c>
      <c r="C84" s="10">
        <f t="shared" si="0"/>
        <v>249999.99999999994</v>
      </c>
      <c r="D84" s="9">
        <f t="shared" si="3"/>
        <v>3739270.3124999995</v>
      </c>
      <c r="E84" s="6">
        <f t="shared" si="1"/>
        <v>2140.8000000000002</v>
      </c>
      <c r="F84" s="5">
        <f t="shared" si="2"/>
        <v>96</v>
      </c>
      <c r="G84" s="3"/>
    </row>
    <row r="85" spans="2:7" x14ac:dyDescent="0.25">
      <c r="B85" s="181">
        <v>33</v>
      </c>
      <c r="C85" s="10">
        <f t="shared" ref="C85:C116" si="4">IF(((1-C$47)*C$46/C$45)*(C$42*$B85+C$43*$B85)*(1+C$43*$B85/(2*C$44))&gt;((1-C$47)*C$46),((1-C$47)*C$46),((1-C$47)*C$46/C$45)*(C$42*$B85+C$43*$B85)*(1+C$43*$B85/(2*C$44)))</f>
        <v>249999.99999999994</v>
      </c>
      <c r="D85" s="9">
        <f t="shared" si="3"/>
        <v>3989270.3124999995</v>
      </c>
      <c r="E85" s="6">
        <f t="shared" ref="E85:E116" si="5">(C$42*$B85+C$43*$B85)*(1+C$43*$B85/(2*C$44))</f>
        <v>2273.5968750000002</v>
      </c>
      <c r="F85" s="5">
        <f t="shared" ref="F85:F116" si="6">(C$42+C$43)*B85</f>
        <v>99</v>
      </c>
      <c r="G85" s="3"/>
    </row>
    <row r="86" spans="2:7" x14ac:dyDescent="0.25">
      <c r="B86" s="181">
        <v>34</v>
      </c>
      <c r="C86" s="10">
        <f t="shared" si="4"/>
        <v>249999.99999999994</v>
      </c>
      <c r="D86" s="9">
        <f t="shared" ref="D86:D117" si="7">D85+C86</f>
        <v>4239270.3124999991</v>
      </c>
      <c r="E86" s="6">
        <f t="shared" si="5"/>
        <v>2410.3875000000003</v>
      </c>
      <c r="F86" s="5">
        <f t="shared" si="6"/>
        <v>102</v>
      </c>
      <c r="G86" s="3"/>
    </row>
    <row r="87" spans="2:7" x14ac:dyDescent="0.25">
      <c r="B87" s="181">
        <v>35</v>
      </c>
      <c r="C87" s="10">
        <f t="shared" si="4"/>
        <v>249999.99999999994</v>
      </c>
      <c r="D87" s="9">
        <f t="shared" si="7"/>
        <v>4489270.3124999991</v>
      </c>
      <c r="E87" s="6">
        <f t="shared" si="5"/>
        <v>2551.171875</v>
      </c>
      <c r="F87" s="5">
        <f t="shared" si="6"/>
        <v>105</v>
      </c>
      <c r="G87" s="3"/>
    </row>
    <row r="88" spans="2:7" x14ac:dyDescent="0.25">
      <c r="B88" s="181">
        <v>36</v>
      </c>
      <c r="C88" s="10">
        <f t="shared" si="4"/>
        <v>249999.99999999994</v>
      </c>
      <c r="D88" s="9">
        <f t="shared" si="7"/>
        <v>4739270.3124999991</v>
      </c>
      <c r="E88" s="6">
        <f t="shared" si="5"/>
        <v>2695.9500000000003</v>
      </c>
      <c r="F88" s="5">
        <f t="shared" si="6"/>
        <v>108</v>
      </c>
      <c r="G88" s="3"/>
    </row>
    <row r="89" spans="2:7" x14ac:dyDescent="0.25">
      <c r="B89" s="181">
        <v>37</v>
      </c>
      <c r="C89" s="10">
        <f t="shared" si="4"/>
        <v>249999.99999999994</v>
      </c>
      <c r="D89" s="9">
        <f t="shared" si="7"/>
        <v>4989270.3124999991</v>
      </c>
      <c r="E89" s="6">
        <f t="shared" si="5"/>
        <v>2844.7218750000002</v>
      </c>
      <c r="F89" s="5">
        <f t="shared" si="6"/>
        <v>111</v>
      </c>
      <c r="G89" s="3"/>
    </row>
    <row r="90" spans="2:7" x14ac:dyDescent="0.25">
      <c r="B90" s="181">
        <v>38</v>
      </c>
      <c r="C90" s="10">
        <f t="shared" si="4"/>
        <v>249999.99999999994</v>
      </c>
      <c r="D90" s="9">
        <f t="shared" si="7"/>
        <v>5239270.3124999991</v>
      </c>
      <c r="E90" s="6">
        <f t="shared" si="5"/>
        <v>2997.4875000000002</v>
      </c>
      <c r="F90" s="5">
        <f t="shared" si="6"/>
        <v>114</v>
      </c>
      <c r="G90" s="3"/>
    </row>
    <row r="91" spans="2:7" x14ac:dyDescent="0.25">
      <c r="B91" s="181">
        <v>39</v>
      </c>
      <c r="C91" s="10">
        <f t="shared" si="4"/>
        <v>249999.99999999994</v>
      </c>
      <c r="D91" s="9">
        <f t="shared" si="7"/>
        <v>5489270.3124999991</v>
      </c>
      <c r="E91" s="6">
        <f t="shared" si="5"/>
        <v>3154.2468750000003</v>
      </c>
      <c r="F91" s="5">
        <f t="shared" si="6"/>
        <v>117</v>
      </c>
      <c r="G91" s="3"/>
    </row>
    <row r="92" spans="2:7" x14ac:dyDescent="0.25">
      <c r="B92" s="181">
        <v>40</v>
      </c>
      <c r="C92" s="10">
        <f t="shared" si="4"/>
        <v>249999.99999999994</v>
      </c>
      <c r="D92" s="9">
        <f t="shared" si="7"/>
        <v>5739270.3124999991</v>
      </c>
      <c r="E92" s="6">
        <f t="shared" si="5"/>
        <v>3315</v>
      </c>
      <c r="F92" s="5">
        <f t="shared" si="6"/>
        <v>120</v>
      </c>
      <c r="G92" s="3"/>
    </row>
    <row r="93" spans="2:7" x14ac:dyDescent="0.25">
      <c r="B93" s="181">
        <v>41</v>
      </c>
      <c r="C93" s="10">
        <f t="shared" si="4"/>
        <v>249999.99999999994</v>
      </c>
      <c r="D93" s="9">
        <f t="shared" si="7"/>
        <v>5989270.3124999991</v>
      </c>
      <c r="E93" s="6">
        <f t="shared" si="5"/>
        <v>3479.7468750000003</v>
      </c>
      <c r="F93" s="5">
        <f t="shared" si="6"/>
        <v>123</v>
      </c>
      <c r="G93" s="3"/>
    </row>
    <row r="94" spans="2:7" x14ac:dyDescent="0.25">
      <c r="B94" s="181">
        <v>42</v>
      </c>
      <c r="C94" s="10">
        <f t="shared" si="4"/>
        <v>249999.99999999994</v>
      </c>
      <c r="D94" s="9">
        <f t="shared" si="7"/>
        <v>6239270.3124999991</v>
      </c>
      <c r="E94" s="6">
        <f t="shared" si="5"/>
        <v>3648.4875000000002</v>
      </c>
      <c r="F94" s="5">
        <f t="shared" si="6"/>
        <v>126</v>
      </c>
      <c r="G94" s="3"/>
    </row>
    <row r="95" spans="2:7" x14ac:dyDescent="0.25">
      <c r="B95" s="181">
        <v>43</v>
      </c>
      <c r="C95" s="10">
        <f t="shared" si="4"/>
        <v>249999.99999999994</v>
      </c>
      <c r="D95" s="9">
        <f t="shared" si="7"/>
        <v>6489270.3124999991</v>
      </c>
      <c r="E95" s="6">
        <f t="shared" si="5"/>
        <v>3821.2218750000002</v>
      </c>
      <c r="F95" s="5">
        <f t="shared" si="6"/>
        <v>129</v>
      </c>
      <c r="G95" s="3"/>
    </row>
    <row r="96" spans="2:7" x14ac:dyDescent="0.25">
      <c r="B96" s="181">
        <v>44</v>
      </c>
      <c r="C96" s="10">
        <f t="shared" si="4"/>
        <v>249999.99999999994</v>
      </c>
      <c r="D96" s="9">
        <f t="shared" si="7"/>
        <v>6739270.3124999991</v>
      </c>
      <c r="E96" s="6">
        <f t="shared" si="5"/>
        <v>3997.9500000000003</v>
      </c>
      <c r="F96" s="5">
        <f t="shared" si="6"/>
        <v>132</v>
      </c>
      <c r="G96" s="3"/>
    </row>
    <row r="97" spans="2:7" x14ac:dyDescent="0.25">
      <c r="B97" s="181">
        <v>45</v>
      </c>
      <c r="C97" s="10">
        <f t="shared" si="4"/>
        <v>249999.99999999994</v>
      </c>
      <c r="D97" s="9">
        <f t="shared" si="7"/>
        <v>6989270.3124999991</v>
      </c>
      <c r="E97" s="6">
        <f t="shared" si="5"/>
        <v>4178.671875</v>
      </c>
      <c r="F97" s="5">
        <f t="shared" si="6"/>
        <v>135</v>
      </c>
      <c r="G97" s="3"/>
    </row>
    <row r="98" spans="2:7" x14ac:dyDescent="0.25">
      <c r="B98" s="181">
        <v>46</v>
      </c>
      <c r="C98" s="10">
        <f t="shared" si="4"/>
        <v>249999.99999999994</v>
      </c>
      <c r="D98" s="9">
        <f t="shared" si="7"/>
        <v>7239270.3124999991</v>
      </c>
      <c r="E98" s="6">
        <f t="shared" si="5"/>
        <v>4363.3875000000007</v>
      </c>
      <c r="F98" s="5">
        <f t="shared" si="6"/>
        <v>138</v>
      </c>
      <c r="G98" s="3"/>
    </row>
    <row r="99" spans="2:7" x14ac:dyDescent="0.25">
      <c r="B99" s="181">
        <v>47</v>
      </c>
      <c r="C99" s="10">
        <f t="shared" si="4"/>
        <v>249999.99999999994</v>
      </c>
      <c r="D99" s="9">
        <f t="shared" si="7"/>
        <v>7489270.3124999991</v>
      </c>
      <c r="E99" s="6">
        <f t="shared" si="5"/>
        <v>4552.0968749999993</v>
      </c>
      <c r="F99" s="5">
        <f t="shared" si="6"/>
        <v>141</v>
      </c>
      <c r="G99" s="3"/>
    </row>
    <row r="100" spans="2:7" x14ac:dyDescent="0.25">
      <c r="B100" s="181">
        <v>48</v>
      </c>
      <c r="C100" s="10">
        <f t="shared" si="4"/>
        <v>249999.99999999994</v>
      </c>
      <c r="D100" s="9">
        <f t="shared" si="7"/>
        <v>7739270.3124999991</v>
      </c>
      <c r="E100" s="6">
        <f t="shared" si="5"/>
        <v>4744.8</v>
      </c>
      <c r="F100" s="5">
        <f t="shared" si="6"/>
        <v>144</v>
      </c>
      <c r="G100" s="3"/>
    </row>
    <row r="101" spans="2:7" x14ac:dyDescent="0.25">
      <c r="B101" s="181">
        <v>49</v>
      </c>
      <c r="C101" s="10">
        <f t="shared" si="4"/>
        <v>249999.99999999994</v>
      </c>
      <c r="D101" s="9">
        <f t="shared" si="7"/>
        <v>7989270.3124999991</v>
      </c>
      <c r="E101" s="6">
        <f t="shared" si="5"/>
        <v>4941.4968749999998</v>
      </c>
      <c r="F101" s="5">
        <f t="shared" si="6"/>
        <v>147</v>
      </c>
      <c r="G101" s="3"/>
    </row>
    <row r="102" spans="2:7" x14ac:dyDescent="0.25">
      <c r="B102" s="181">
        <v>50</v>
      </c>
      <c r="C102" s="10">
        <f t="shared" si="4"/>
        <v>249999.99999999994</v>
      </c>
      <c r="D102" s="9">
        <f t="shared" si="7"/>
        <v>8239270.3124999991</v>
      </c>
      <c r="E102" s="6">
        <f t="shared" si="5"/>
        <v>5142.1875</v>
      </c>
      <c r="F102" s="5">
        <f t="shared" si="6"/>
        <v>150</v>
      </c>
      <c r="G102" s="3"/>
    </row>
    <row r="103" spans="2:7" x14ac:dyDescent="0.25">
      <c r="B103" s="181">
        <v>51</v>
      </c>
      <c r="C103" s="10">
        <f t="shared" si="4"/>
        <v>249999.99999999994</v>
      </c>
      <c r="D103" s="9">
        <f t="shared" si="7"/>
        <v>8489270.3124999981</v>
      </c>
      <c r="E103" s="6">
        <f t="shared" si="5"/>
        <v>5346.8718749999998</v>
      </c>
      <c r="F103" s="5">
        <f t="shared" si="6"/>
        <v>153</v>
      </c>
      <c r="G103" s="3"/>
    </row>
    <row r="104" spans="2:7" x14ac:dyDescent="0.25">
      <c r="B104" s="181">
        <v>52</v>
      </c>
      <c r="C104" s="10">
        <f t="shared" si="4"/>
        <v>249999.99999999994</v>
      </c>
      <c r="D104" s="9">
        <f t="shared" si="7"/>
        <v>8739270.3124999981</v>
      </c>
      <c r="E104" s="6">
        <f t="shared" si="5"/>
        <v>5555.5500000000011</v>
      </c>
      <c r="F104" s="5">
        <f t="shared" si="6"/>
        <v>156</v>
      </c>
      <c r="G104" s="3"/>
    </row>
    <row r="105" spans="2:7" x14ac:dyDescent="0.25">
      <c r="B105" s="181">
        <v>53</v>
      </c>
      <c r="C105" s="10">
        <f t="shared" si="4"/>
        <v>249999.99999999994</v>
      </c>
      <c r="D105" s="9">
        <f t="shared" si="7"/>
        <v>8989270.3124999981</v>
      </c>
      <c r="E105" s="6">
        <f t="shared" si="5"/>
        <v>5768.2218750000002</v>
      </c>
      <c r="F105" s="5">
        <f t="shared" si="6"/>
        <v>159</v>
      </c>
      <c r="G105" s="3"/>
    </row>
    <row r="106" spans="2:7" x14ac:dyDescent="0.25">
      <c r="B106" s="181">
        <v>54</v>
      </c>
      <c r="C106" s="10">
        <f t="shared" si="4"/>
        <v>249999.99999999994</v>
      </c>
      <c r="D106" s="9">
        <f t="shared" si="7"/>
        <v>9239270.3124999981</v>
      </c>
      <c r="E106" s="6">
        <f t="shared" si="5"/>
        <v>5984.8874999999998</v>
      </c>
      <c r="F106" s="5">
        <f t="shared" si="6"/>
        <v>162</v>
      </c>
      <c r="G106" s="3"/>
    </row>
    <row r="107" spans="2:7" x14ac:dyDescent="0.25">
      <c r="B107" s="181">
        <v>55</v>
      </c>
      <c r="C107" s="10">
        <f t="shared" si="4"/>
        <v>249999.99999999994</v>
      </c>
      <c r="D107" s="9">
        <f t="shared" si="7"/>
        <v>9489270.3124999981</v>
      </c>
      <c r="E107" s="6">
        <f t="shared" si="5"/>
        <v>6205.546875</v>
      </c>
      <c r="F107" s="5">
        <f t="shared" si="6"/>
        <v>165</v>
      </c>
      <c r="G107" s="3"/>
    </row>
    <row r="108" spans="2:7" x14ac:dyDescent="0.25">
      <c r="B108" s="181">
        <v>56</v>
      </c>
      <c r="C108" s="10">
        <f t="shared" si="4"/>
        <v>249999.99999999994</v>
      </c>
      <c r="D108" s="9">
        <f t="shared" si="7"/>
        <v>9739270.3124999981</v>
      </c>
      <c r="E108" s="6">
        <f t="shared" si="5"/>
        <v>6430.2</v>
      </c>
      <c r="F108" s="5">
        <f t="shared" si="6"/>
        <v>168</v>
      </c>
      <c r="G108" s="3"/>
    </row>
    <row r="109" spans="2:7" x14ac:dyDescent="0.25">
      <c r="B109" s="181">
        <v>57</v>
      </c>
      <c r="C109" s="10">
        <f t="shared" si="4"/>
        <v>249999.99999999994</v>
      </c>
      <c r="D109" s="9">
        <f t="shared" si="7"/>
        <v>9989270.3124999981</v>
      </c>
      <c r="E109" s="6">
        <f t="shared" si="5"/>
        <v>6658.8468750000011</v>
      </c>
      <c r="F109" s="5">
        <f t="shared" si="6"/>
        <v>171</v>
      </c>
      <c r="G109" s="3"/>
    </row>
    <row r="110" spans="2:7" x14ac:dyDescent="0.25">
      <c r="B110" s="181">
        <v>58</v>
      </c>
      <c r="C110" s="10">
        <f t="shared" si="4"/>
        <v>249999.99999999994</v>
      </c>
      <c r="D110" s="9">
        <f t="shared" si="7"/>
        <v>10239270.312499998</v>
      </c>
      <c r="E110" s="6">
        <f t="shared" si="5"/>
        <v>6891.4875000000002</v>
      </c>
      <c r="F110" s="5">
        <f t="shared" si="6"/>
        <v>174</v>
      </c>
      <c r="G110" s="3"/>
    </row>
    <row r="111" spans="2:7" x14ac:dyDescent="0.25">
      <c r="B111" s="181">
        <v>59</v>
      </c>
      <c r="C111" s="10">
        <f t="shared" si="4"/>
        <v>249999.99999999994</v>
      </c>
      <c r="D111" s="9">
        <f t="shared" si="7"/>
        <v>10489270.312499998</v>
      </c>
      <c r="E111" s="6">
        <f t="shared" si="5"/>
        <v>7128.1218749999998</v>
      </c>
      <c r="F111" s="5">
        <f t="shared" si="6"/>
        <v>177</v>
      </c>
      <c r="G111" s="3"/>
    </row>
    <row r="112" spans="2:7" x14ac:dyDescent="0.25">
      <c r="B112" s="181">
        <v>60</v>
      </c>
      <c r="C112" s="10">
        <f t="shared" si="4"/>
        <v>249999.99999999994</v>
      </c>
      <c r="D112" s="9">
        <f t="shared" si="7"/>
        <v>10739270.312499998</v>
      </c>
      <c r="E112" s="6">
        <f t="shared" si="5"/>
        <v>7368.75</v>
      </c>
      <c r="F112" s="5">
        <f t="shared" si="6"/>
        <v>180</v>
      </c>
    </row>
    <row r="113" spans="2:6" x14ac:dyDescent="0.25">
      <c r="B113" s="181">
        <v>61</v>
      </c>
      <c r="C113" s="10">
        <f t="shared" si="4"/>
        <v>249999.99999999994</v>
      </c>
      <c r="D113" s="9">
        <f t="shared" si="7"/>
        <v>10989270.312499998</v>
      </c>
      <c r="E113" s="6">
        <f t="shared" si="5"/>
        <v>7613.3718749999998</v>
      </c>
      <c r="F113" s="5">
        <f t="shared" si="6"/>
        <v>183</v>
      </c>
    </row>
    <row r="114" spans="2:6" x14ac:dyDescent="0.25">
      <c r="B114" s="181">
        <v>62</v>
      </c>
      <c r="C114" s="10">
        <f t="shared" si="4"/>
        <v>249999.99999999994</v>
      </c>
      <c r="D114" s="9">
        <f t="shared" si="7"/>
        <v>11239270.312499998</v>
      </c>
      <c r="E114" s="6">
        <f t="shared" si="5"/>
        <v>7861.9875000000011</v>
      </c>
      <c r="F114" s="5">
        <f t="shared" si="6"/>
        <v>186</v>
      </c>
    </row>
    <row r="115" spans="2:6" x14ac:dyDescent="0.25">
      <c r="B115" s="181">
        <v>63</v>
      </c>
      <c r="C115" s="10">
        <f t="shared" si="4"/>
        <v>249999.99999999994</v>
      </c>
      <c r="D115" s="9">
        <f t="shared" si="7"/>
        <v>11489270.312499998</v>
      </c>
      <c r="E115" s="6">
        <f t="shared" si="5"/>
        <v>8114.5968750000002</v>
      </c>
      <c r="F115" s="5">
        <f t="shared" si="6"/>
        <v>189</v>
      </c>
    </row>
    <row r="116" spans="2:6" x14ac:dyDescent="0.25">
      <c r="B116" s="181">
        <v>64</v>
      </c>
      <c r="C116" s="10">
        <f t="shared" si="4"/>
        <v>249999.99999999994</v>
      </c>
      <c r="D116" s="9">
        <f t="shared" si="7"/>
        <v>11739270.312499998</v>
      </c>
      <c r="E116" s="6">
        <f t="shared" si="5"/>
        <v>8371.2000000000007</v>
      </c>
      <c r="F116" s="5">
        <f t="shared" si="6"/>
        <v>192</v>
      </c>
    </row>
    <row r="117" spans="2:6" x14ac:dyDescent="0.25">
      <c r="B117" s="181">
        <v>65</v>
      </c>
      <c r="C117" s="10">
        <f t="shared" ref="C117:C137" si="8">IF(((1-C$47)*C$46/C$45)*(C$42*$B117+C$43*$B117)*(1+C$43*$B117/(2*C$44))&gt;((1-C$47)*C$46),((1-C$47)*C$46),((1-C$47)*C$46/C$45)*(C$42*$B117+C$43*$B117)*(1+C$43*$B117/(2*C$44)))</f>
        <v>249999.99999999994</v>
      </c>
      <c r="D117" s="9">
        <f t="shared" si="7"/>
        <v>11989270.312499998</v>
      </c>
      <c r="E117" s="6">
        <f t="shared" ref="E117:E137" si="9">(C$42*$B117+C$43*$B117)*(1+C$43*$B117/(2*C$44))</f>
        <v>8631.796875</v>
      </c>
      <c r="F117" s="5">
        <f t="shared" ref="F117:F137" si="10">(C$42+C$43)*B117</f>
        <v>195</v>
      </c>
    </row>
    <row r="118" spans="2:6" x14ac:dyDescent="0.25">
      <c r="B118" s="181">
        <v>66</v>
      </c>
      <c r="C118" s="10">
        <f t="shared" si="8"/>
        <v>249999.99999999994</v>
      </c>
      <c r="D118" s="9">
        <f t="shared" ref="D118:D137" si="11">D117+C118</f>
        <v>12239270.312499998</v>
      </c>
      <c r="E118" s="6">
        <f t="shared" si="9"/>
        <v>8896.3875000000007</v>
      </c>
      <c r="F118" s="5">
        <f t="shared" si="10"/>
        <v>198</v>
      </c>
    </row>
    <row r="119" spans="2:6" x14ac:dyDescent="0.25">
      <c r="B119" s="181">
        <v>67</v>
      </c>
      <c r="C119" s="10">
        <f t="shared" si="8"/>
        <v>249999.99999999994</v>
      </c>
      <c r="D119" s="9">
        <f t="shared" si="11"/>
        <v>12489270.312499998</v>
      </c>
      <c r="E119" s="6">
        <f t="shared" si="9"/>
        <v>9164.9718750000011</v>
      </c>
      <c r="F119" s="5">
        <f t="shared" si="10"/>
        <v>201</v>
      </c>
    </row>
    <row r="120" spans="2:6" x14ac:dyDescent="0.25">
      <c r="B120" s="181">
        <v>68</v>
      </c>
      <c r="C120" s="10">
        <f t="shared" si="8"/>
        <v>249999.99999999994</v>
      </c>
      <c r="D120" s="9">
        <f t="shared" si="11"/>
        <v>12739270.312499998</v>
      </c>
      <c r="E120" s="6">
        <f t="shared" si="9"/>
        <v>9437.5500000000011</v>
      </c>
      <c r="F120" s="5">
        <f t="shared" si="10"/>
        <v>204</v>
      </c>
    </row>
    <row r="121" spans="2:6" x14ac:dyDescent="0.25">
      <c r="B121" s="181">
        <v>69</v>
      </c>
      <c r="C121" s="10">
        <f t="shared" si="8"/>
        <v>249999.99999999994</v>
      </c>
      <c r="D121" s="9">
        <f t="shared" si="11"/>
        <v>12989270.312499998</v>
      </c>
      <c r="E121" s="6">
        <f t="shared" si="9"/>
        <v>9714.1218750000007</v>
      </c>
      <c r="F121" s="5">
        <f t="shared" si="10"/>
        <v>207</v>
      </c>
    </row>
    <row r="122" spans="2:6" x14ac:dyDescent="0.25">
      <c r="B122" s="181">
        <v>70</v>
      </c>
      <c r="C122" s="10">
        <f t="shared" si="8"/>
        <v>249999.99999999994</v>
      </c>
      <c r="D122" s="9">
        <f t="shared" si="11"/>
        <v>13239270.312499998</v>
      </c>
      <c r="E122" s="6">
        <f t="shared" si="9"/>
        <v>9994.6875</v>
      </c>
      <c r="F122" s="5">
        <f t="shared" si="10"/>
        <v>210</v>
      </c>
    </row>
    <row r="123" spans="2:6" x14ac:dyDescent="0.25">
      <c r="B123" s="181">
        <v>71</v>
      </c>
      <c r="C123" s="10">
        <f t="shared" si="8"/>
        <v>249999.99999999994</v>
      </c>
      <c r="D123" s="9">
        <f t="shared" si="11"/>
        <v>13489270.312499998</v>
      </c>
      <c r="E123" s="6">
        <f t="shared" si="9"/>
        <v>10279.246875000001</v>
      </c>
      <c r="F123" s="5">
        <f t="shared" si="10"/>
        <v>213</v>
      </c>
    </row>
    <row r="124" spans="2:6" x14ac:dyDescent="0.25">
      <c r="B124" s="181">
        <v>72</v>
      </c>
      <c r="C124" s="10">
        <f t="shared" si="8"/>
        <v>249999.99999999994</v>
      </c>
      <c r="D124" s="9">
        <f t="shared" si="11"/>
        <v>13739270.312499998</v>
      </c>
      <c r="E124" s="6">
        <f t="shared" si="9"/>
        <v>10567.800000000001</v>
      </c>
      <c r="F124" s="5">
        <f t="shared" si="10"/>
        <v>216</v>
      </c>
    </row>
    <row r="125" spans="2:6" x14ac:dyDescent="0.25">
      <c r="B125" s="181">
        <v>73</v>
      </c>
      <c r="C125" s="10">
        <f t="shared" si="8"/>
        <v>249999.99999999994</v>
      </c>
      <c r="D125" s="9">
        <f t="shared" si="11"/>
        <v>13989270.312499998</v>
      </c>
      <c r="E125" s="6">
        <f t="shared" si="9"/>
        <v>10860.346875000001</v>
      </c>
      <c r="F125" s="5">
        <f t="shared" si="10"/>
        <v>219</v>
      </c>
    </row>
    <row r="126" spans="2:6" x14ac:dyDescent="0.25">
      <c r="B126" s="181">
        <v>74</v>
      </c>
      <c r="C126" s="10">
        <f t="shared" si="8"/>
        <v>249999.99999999994</v>
      </c>
      <c r="D126" s="9">
        <f t="shared" si="11"/>
        <v>14239270.312499998</v>
      </c>
      <c r="E126" s="6">
        <f t="shared" si="9"/>
        <v>11156.887500000001</v>
      </c>
      <c r="F126" s="5">
        <f t="shared" si="10"/>
        <v>222</v>
      </c>
    </row>
    <row r="127" spans="2:6" x14ac:dyDescent="0.25">
      <c r="B127" s="181">
        <v>75</v>
      </c>
      <c r="C127" s="10">
        <f t="shared" si="8"/>
        <v>249999.99999999994</v>
      </c>
      <c r="D127" s="9">
        <f t="shared" si="11"/>
        <v>14489270.312499998</v>
      </c>
      <c r="E127" s="6">
        <f t="shared" si="9"/>
        <v>11457.421875</v>
      </c>
      <c r="F127" s="5">
        <f t="shared" si="10"/>
        <v>225</v>
      </c>
    </row>
    <row r="128" spans="2:6" x14ac:dyDescent="0.25">
      <c r="B128" s="181">
        <v>76</v>
      </c>
      <c r="C128" s="10">
        <f t="shared" si="8"/>
        <v>249999.99999999994</v>
      </c>
      <c r="D128" s="9">
        <f t="shared" si="11"/>
        <v>14739270.312499998</v>
      </c>
      <c r="E128" s="6">
        <f t="shared" si="9"/>
        <v>11761.95</v>
      </c>
      <c r="F128" s="5">
        <f t="shared" si="10"/>
        <v>228</v>
      </c>
    </row>
    <row r="129" spans="2:6" x14ac:dyDescent="0.25">
      <c r="B129" s="181">
        <v>77</v>
      </c>
      <c r="C129" s="10">
        <f t="shared" si="8"/>
        <v>249999.99999999994</v>
      </c>
      <c r="D129" s="9">
        <f t="shared" si="11"/>
        <v>14989270.312499998</v>
      </c>
      <c r="E129" s="6">
        <f t="shared" si="9"/>
        <v>12070.471875000001</v>
      </c>
      <c r="F129" s="5">
        <f t="shared" si="10"/>
        <v>231</v>
      </c>
    </row>
    <row r="130" spans="2:6" x14ac:dyDescent="0.25">
      <c r="B130" s="181">
        <v>78</v>
      </c>
      <c r="C130" s="10">
        <f t="shared" si="8"/>
        <v>249999.99999999994</v>
      </c>
      <c r="D130" s="9">
        <f t="shared" si="11"/>
        <v>15239270.312499998</v>
      </c>
      <c r="E130" s="6">
        <f t="shared" si="9"/>
        <v>12382.987500000001</v>
      </c>
      <c r="F130" s="5">
        <f t="shared" si="10"/>
        <v>234</v>
      </c>
    </row>
    <row r="131" spans="2:6" x14ac:dyDescent="0.25">
      <c r="B131" s="181">
        <v>79</v>
      </c>
      <c r="C131" s="10">
        <f t="shared" si="8"/>
        <v>249999.99999999994</v>
      </c>
      <c r="D131" s="9">
        <f t="shared" si="11"/>
        <v>15489270.312499998</v>
      </c>
      <c r="E131" s="6">
        <f t="shared" si="9"/>
        <v>12699.496875000001</v>
      </c>
      <c r="F131" s="5">
        <f t="shared" si="10"/>
        <v>237</v>
      </c>
    </row>
    <row r="132" spans="2:6" x14ac:dyDescent="0.25">
      <c r="B132" s="181">
        <v>80</v>
      </c>
      <c r="C132" s="10">
        <f t="shared" si="8"/>
        <v>249999.99999999994</v>
      </c>
      <c r="D132" s="9">
        <f t="shared" si="11"/>
        <v>15739270.312499998</v>
      </c>
      <c r="E132" s="6">
        <f t="shared" si="9"/>
        <v>13020</v>
      </c>
      <c r="F132" s="5">
        <f t="shared" si="10"/>
        <v>240</v>
      </c>
    </row>
    <row r="133" spans="2:6" x14ac:dyDescent="0.25">
      <c r="B133" s="181">
        <v>81</v>
      </c>
      <c r="C133" s="10">
        <f t="shared" si="8"/>
        <v>249999.99999999994</v>
      </c>
      <c r="D133" s="9">
        <f t="shared" si="11"/>
        <v>15989270.312499998</v>
      </c>
      <c r="E133" s="6">
        <f t="shared" si="9"/>
        <v>13344.496875000001</v>
      </c>
      <c r="F133" s="5">
        <f t="shared" si="10"/>
        <v>243</v>
      </c>
    </row>
    <row r="134" spans="2:6" x14ac:dyDescent="0.25">
      <c r="B134" s="181">
        <v>82</v>
      </c>
      <c r="C134" s="10">
        <f t="shared" si="8"/>
        <v>249999.99999999994</v>
      </c>
      <c r="D134" s="9">
        <f t="shared" si="11"/>
        <v>16239270.312499998</v>
      </c>
      <c r="E134" s="6">
        <f t="shared" si="9"/>
        <v>13672.987500000001</v>
      </c>
      <c r="F134" s="5">
        <f t="shared" si="10"/>
        <v>246</v>
      </c>
    </row>
    <row r="135" spans="2:6" x14ac:dyDescent="0.25">
      <c r="B135" s="181">
        <v>83</v>
      </c>
      <c r="C135" s="10">
        <f t="shared" si="8"/>
        <v>249999.99999999994</v>
      </c>
      <c r="D135" s="9">
        <f t="shared" si="11"/>
        <v>16489270.312499998</v>
      </c>
      <c r="E135" s="6">
        <f t="shared" si="9"/>
        <v>14005.471875000001</v>
      </c>
      <c r="F135" s="5">
        <f t="shared" si="10"/>
        <v>249</v>
      </c>
    </row>
    <row r="136" spans="2:6" x14ac:dyDescent="0.25">
      <c r="B136" s="181">
        <v>84</v>
      </c>
      <c r="C136" s="10">
        <f t="shared" si="8"/>
        <v>249999.99999999994</v>
      </c>
      <c r="D136" s="9">
        <f t="shared" si="11"/>
        <v>16739270.312499998</v>
      </c>
      <c r="E136" s="6">
        <f t="shared" si="9"/>
        <v>14341.95</v>
      </c>
      <c r="F136" s="5">
        <f t="shared" si="10"/>
        <v>252</v>
      </c>
    </row>
    <row r="137" spans="2:6" x14ac:dyDescent="0.25">
      <c r="B137" s="184">
        <v>85</v>
      </c>
      <c r="C137" s="8">
        <f t="shared" si="8"/>
        <v>249999.99999999994</v>
      </c>
      <c r="D137" s="7">
        <f t="shared" si="11"/>
        <v>16989270.312499996</v>
      </c>
      <c r="E137" s="6">
        <f t="shared" si="9"/>
        <v>14682.421875</v>
      </c>
      <c r="F137" s="5">
        <f t="shared" si="10"/>
        <v>255</v>
      </c>
    </row>
    <row r="138" spans="2:6" x14ac:dyDescent="0.25">
      <c r="B138" s="4"/>
      <c r="C138" s="3"/>
      <c r="D138" s="2"/>
      <c r="E138" s="1"/>
    </row>
  </sheetData>
  <mergeCells count="1">
    <mergeCell ref="E15:G17"/>
  </mergeCells>
  <pageMargins left="0.7" right="0.7" top="0.75" bottom="0.75" header="0.3" footer="0.3"/>
  <pageSetup paperSize="9" orientation="portrait" verticalDpi="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Pyblast calculator</vt:lpstr>
      <vt:lpstr>N ESk Scenarios</vt:lpstr>
      <vt:lpstr>Model </vt:lpstr>
      <vt:lpstr>Trapping model</vt:lpstr>
      <vt:lpstr>modelauto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stephanie</cp:lastModifiedBy>
  <dcterms:created xsi:type="dcterms:W3CDTF">2009-09-23T17:44:18Z</dcterms:created>
  <dcterms:modified xsi:type="dcterms:W3CDTF">2013-09-19T13:58:54Z</dcterms:modified>
</cp:coreProperties>
</file>