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deline Rihner\Desktop\"/>
    </mc:Choice>
  </mc:AlternateContent>
  <bookViews>
    <workbookView xWindow="0" yWindow="0" windowWidth="7480" windowHeight="2830"/>
  </bookViews>
  <sheets>
    <sheet name="Overview" sheetId="12" r:id="rId1"/>
    <sheet name="Material Flow Analysis" sheetId="1" r:id="rId2"/>
    <sheet name="Carbon Intensity" sheetId="3" r:id="rId3"/>
    <sheet name="Decarbonization Potential" sheetId="10" r:id="rId4"/>
    <sheet name="Decarbonization Waterfall" sheetId="11" r:id="rId5"/>
    <sheet name="Cumulative Carbon Calculations" sheetId="8" r:id="rId6"/>
    <sheet name="Supplementary Calculations" sheetId="4" r:id="rId7"/>
  </sheets>
  <definedNames>
    <definedName name="_xlchart.0" hidden="1">'Decarbonization Waterfall'!$A$4:$A$17</definedName>
    <definedName name="_xlchart.1" hidden="1">'Decarbonization Waterfall'!$B$4:$B$17</definedName>
    <definedName name="_xlchart.2" hidden="1">'Decarbonization Waterfall'!$D$2:$E$2</definedName>
    <definedName name="_xlchart.3" hidden="1">'Decarbonization Waterfall'!$A$4:$A$17</definedName>
    <definedName name="_xlchart.4" hidden="1">'Decarbonization Waterfall'!$D$2:$E$2</definedName>
    <definedName name="_xlchart.5" hidden="1">'Decarbonization Waterfall'!$D$4:$D$17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52" i="4"/>
  <c r="B5" i="4"/>
  <c r="B12" i="4" s="1"/>
  <c r="B6" i="4"/>
  <c r="B13" i="4" s="1"/>
  <c r="B9" i="4"/>
  <c r="D37" i="10"/>
  <c r="F34" i="10"/>
  <c r="G13" i="3"/>
  <c r="B11" i="1"/>
  <c r="B8" i="1"/>
  <c r="B7" i="1"/>
  <c r="B4" i="1"/>
  <c r="B37" i="1"/>
  <c r="B36" i="1"/>
  <c r="B8" i="4" l="1"/>
  <c r="C5" i="4"/>
  <c r="F5" i="4" s="1"/>
  <c r="K4" i="8" l="1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D13" i="4" l="1"/>
  <c r="C19" i="4"/>
  <c r="F19" i="4" l="1"/>
  <c r="C20" i="4"/>
  <c r="F20" i="4" s="1"/>
  <c r="I6" i="10" l="1"/>
  <c r="C56" i="10" s="1"/>
  <c r="G9" i="10"/>
  <c r="E22" i="3" l="1"/>
  <c r="G4" i="10" l="1"/>
  <c r="I14" i="10"/>
  <c r="H14" i="10"/>
  <c r="G14" i="10"/>
  <c r="I13" i="10"/>
  <c r="H13" i="10"/>
  <c r="I12" i="10"/>
  <c r="H12" i="10"/>
  <c r="G12" i="10"/>
  <c r="F12" i="10"/>
  <c r="I11" i="10"/>
  <c r="H11" i="10"/>
  <c r="G11" i="10"/>
  <c r="I10" i="10"/>
  <c r="C57" i="10" s="1"/>
  <c r="H10" i="10"/>
  <c r="G10" i="10"/>
  <c r="I9" i="10"/>
  <c r="H9" i="10"/>
  <c r="I8" i="10"/>
  <c r="H8" i="10"/>
  <c r="G8" i="10"/>
  <c r="I7" i="10"/>
  <c r="H7" i="10"/>
  <c r="G7" i="10"/>
  <c r="H6" i="10"/>
  <c r="G6" i="10"/>
  <c r="I5" i="10"/>
  <c r="C55" i="10" s="1"/>
  <c r="H5" i="10"/>
  <c r="G5" i="10"/>
  <c r="I4" i="10"/>
  <c r="C54" i="10" s="1"/>
  <c r="H4" i="10"/>
  <c r="C58" i="10" l="1"/>
  <c r="D56" i="10" s="1"/>
  <c r="D54" i="10"/>
  <c r="D57" i="10"/>
  <c r="D55" i="10"/>
  <c r="H15" i="10"/>
  <c r="I15" i="10"/>
  <c r="G15" i="10"/>
  <c r="D58" i="10" l="1"/>
  <c r="F14" i="10"/>
  <c r="E23" i="3" l="1"/>
  <c r="B60" i="4" l="1"/>
  <c r="E18" i="3" s="1"/>
  <c r="E17" i="3" s="1"/>
  <c r="B69" i="4" l="1"/>
  <c r="G18" i="3" s="1"/>
  <c r="C59" i="4" l="1"/>
  <c r="D59" i="4"/>
  <c r="E59" i="4"/>
  <c r="F59" i="4"/>
  <c r="G59" i="4"/>
  <c r="H59" i="4"/>
  <c r="I59" i="4"/>
  <c r="J59" i="4"/>
  <c r="K59" i="4"/>
  <c r="L59" i="4"/>
  <c r="M59" i="4"/>
  <c r="N59" i="4"/>
  <c r="O59" i="4"/>
  <c r="B59" i="4"/>
  <c r="B61" i="4" l="1"/>
  <c r="I18" i="3" s="1"/>
  <c r="E16" i="3" l="1"/>
  <c r="I16" i="3" s="1"/>
  <c r="I17" i="3"/>
  <c r="D47" i="10" s="1"/>
  <c r="G17" i="3"/>
  <c r="G16" i="3" s="1"/>
  <c r="C21" i="4"/>
  <c r="C22" i="4"/>
  <c r="F22" i="4" s="1"/>
  <c r="F21" i="4" l="1"/>
  <c r="F23" i="4" s="1"/>
  <c r="I8" i="3" s="1"/>
  <c r="C23" i="4"/>
  <c r="D46" i="10"/>
  <c r="B31" i="1"/>
  <c r="B30" i="1"/>
  <c r="B50" i="4" l="1"/>
  <c r="B51" i="4" l="1"/>
  <c r="D51" i="4" s="1"/>
  <c r="B49" i="4"/>
  <c r="B48" i="4"/>
  <c r="D50" i="4"/>
  <c r="D49" i="4"/>
  <c r="B31" i="4"/>
  <c r="E34" i="3"/>
  <c r="I47" i="3" s="1"/>
  <c r="F30" i="3"/>
  <c r="H45" i="3" s="1"/>
  <c r="F29" i="3"/>
  <c r="G45" i="3" s="1"/>
  <c r="F28" i="3"/>
  <c r="F45" i="3" s="1"/>
  <c r="E30" i="3"/>
  <c r="H44" i="3" s="1"/>
  <c r="E24" i="3"/>
  <c r="D42" i="3"/>
  <c r="C42" i="3"/>
  <c r="D24" i="3"/>
  <c r="E41" i="3" s="1"/>
  <c r="D23" i="3"/>
  <c r="D41" i="3" s="1"/>
  <c r="D22" i="3"/>
  <c r="C41" i="3" s="1"/>
  <c r="B15" i="1"/>
  <c r="B6" i="1"/>
  <c r="D48" i="4" l="1"/>
  <c r="B52" i="4"/>
  <c r="C30" i="4"/>
  <c r="C29" i="4"/>
  <c r="C28" i="4"/>
  <c r="F28" i="4" s="1"/>
  <c r="C27" i="4"/>
  <c r="F9" i="10"/>
  <c r="C48" i="3"/>
  <c r="D48" i="3"/>
  <c r="B29" i="1"/>
  <c r="D52" i="4"/>
  <c r="D53" i="4" s="1"/>
  <c r="F24" i="3"/>
  <c r="D30" i="3" s="1"/>
  <c r="H43" i="3" s="1"/>
  <c r="H48" i="3" s="1"/>
  <c r="F29" i="4"/>
  <c r="B18" i="1"/>
  <c r="F22" i="3"/>
  <c r="D28" i="3" s="1"/>
  <c r="E42" i="3"/>
  <c r="E48" i="3" s="1"/>
  <c r="F23" i="3"/>
  <c r="D29" i="3" s="1"/>
  <c r="G43" i="3" s="1"/>
  <c r="C7" i="4"/>
  <c r="F7" i="4" s="1"/>
  <c r="C6" i="4"/>
  <c r="F6" i="4" s="1"/>
  <c r="C8" i="4" l="1"/>
  <c r="F8" i="4" s="1"/>
  <c r="B14" i="4"/>
  <c r="D36" i="10"/>
  <c r="B28" i="1"/>
  <c r="C4" i="10" s="1"/>
  <c r="C9" i="4"/>
  <c r="B17" i="1"/>
  <c r="I13" i="3"/>
  <c r="G30" i="3"/>
  <c r="B20" i="1"/>
  <c r="B21" i="1"/>
  <c r="F27" i="4"/>
  <c r="F31" i="4" s="1"/>
  <c r="G12" i="3" s="1"/>
  <c r="C31" i="4"/>
  <c r="B15" i="4" l="1"/>
  <c r="F9" i="11"/>
  <c r="F4" i="10"/>
  <c r="D45" i="10"/>
  <c r="D44" i="10" s="1"/>
  <c r="F9" i="4"/>
  <c r="G8" i="3" s="1"/>
  <c r="E29" i="3" s="1"/>
  <c r="D36" i="3"/>
  <c r="K46" i="3" s="1"/>
  <c r="E35" i="3"/>
  <c r="J47" i="3" s="1"/>
  <c r="I12" i="3"/>
  <c r="E36" i="3" s="1"/>
  <c r="F43" i="3"/>
  <c r="B19" i="1"/>
  <c r="C14" i="4" l="1"/>
  <c r="F14" i="4" s="1"/>
  <c r="C13" i="4"/>
  <c r="F13" i="4" s="1"/>
  <c r="C12" i="4"/>
  <c r="F12" i="4" s="1"/>
  <c r="F15" i="4" s="1"/>
  <c r="G23" i="10"/>
  <c r="H35" i="10" s="1"/>
  <c r="F20" i="10"/>
  <c r="D34" i="10"/>
  <c r="F22" i="10"/>
  <c r="G34" i="10" s="1"/>
  <c r="G21" i="10"/>
  <c r="F19" i="10"/>
  <c r="G19" i="10"/>
  <c r="D35" i="10"/>
  <c r="G20" i="10"/>
  <c r="F21" i="10"/>
  <c r="F23" i="10"/>
  <c r="G35" i="10" s="1"/>
  <c r="G22" i="10"/>
  <c r="H34" i="10" s="1"/>
  <c r="E20" i="10"/>
  <c r="B15" i="11" s="1"/>
  <c r="E19" i="10"/>
  <c r="E45" i="10"/>
  <c r="E21" i="10"/>
  <c r="B16" i="11" s="1"/>
  <c r="E23" i="10"/>
  <c r="E22" i="10"/>
  <c r="G29" i="3"/>
  <c r="D35" i="3" s="1"/>
  <c r="F35" i="3" s="1"/>
  <c r="G44" i="3"/>
  <c r="G48" i="3" s="1"/>
  <c r="K47" i="3"/>
  <c r="K48" i="3" s="1"/>
  <c r="F36" i="3"/>
  <c r="E8" i="3" l="1"/>
  <c r="E28" i="3" s="1"/>
  <c r="F44" i="3" s="1"/>
  <c r="F48" i="3" s="1"/>
  <c r="C15" i="4"/>
  <c r="B7" i="11"/>
  <c r="B8" i="11"/>
  <c r="F35" i="10"/>
  <c r="F7" i="11"/>
  <c r="F10" i="11"/>
  <c r="F8" i="11"/>
  <c r="B14" i="11"/>
  <c r="J46" i="3"/>
  <c r="J48" i="3" s="1"/>
  <c r="E44" i="10"/>
  <c r="E47" i="10"/>
  <c r="E46" i="10"/>
  <c r="G28" i="3" l="1"/>
  <c r="G24" i="10" s="1"/>
  <c r="H36" i="10" s="1"/>
  <c r="G25" i="10" l="1"/>
  <c r="E24" i="10"/>
  <c r="B9" i="11" s="1"/>
  <c r="F36" i="10"/>
  <c r="D34" i="3"/>
  <c r="E26" i="10"/>
  <c r="G26" i="10"/>
  <c r="H37" i="10" s="1"/>
  <c r="F25" i="10"/>
  <c r="C9" i="10"/>
  <c r="F24" i="10"/>
  <c r="G36" i="10" s="1"/>
  <c r="D38" i="10"/>
  <c r="F11" i="11" s="1"/>
  <c r="E25" i="10"/>
  <c r="B17" i="11" s="1"/>
  <c r="C20" i="11" s="1"/>
  <c r="F26" i="10"/>
  <c r="G37" i="10" s="1"/>
  <c r="D39" i="10"/>
  <c r="F12" i="11" s="1"/>
  <c r="B10" i="11" l="1"/>
  <c r="F37" i="10"/>
  <c r="I46" i="3"/>
  <c r="I48" i="3" s="1"/>
  <c r="F34" i="3"/>
  <c r="D29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L32" i="8"/>
  <c r="F27" i="10" l="1"/>
  <c r="G38" i="10" s="1"/>
  <c r="F29" i="10"/>
  <c r="G40" i="10" s="1"/>
  <c r="G29" i="10"/>
  <c r="H40" i="10" s="1"/>
  <c r="G27" i="10"/>
  <c r="H38" i="10" s="1"/>
  <c r="D40" i="10"/>
  <c r="C14" i="10"/>
  <c r="C12" i="10"/>
  <c r="D50" i="10" s="1"/>
  <c r="I4" i="8"/>
  <c r="E27" i="10"/>
  <c r="E29" i="10"/>
  <c r="E28" i="10"/>
  <c r="G28" i="10"/>
  <c r="H39" i="10" s="1"/>
  <c r="D4" i="11"/>
  <c r="F28" i="10"/>
  <c r="G39" i="10" s="1"/>
  <c r="J4" i="8" l="1"/>
  <c r="G4" i="8"/>
  <c r="H4" i="8" s="1"/>
  <c r="I29" i="8"/>
  <c r="F13" i="11"/>
  <c r="D41" i="10"/>
  <c r="D51" i="10" s="1"/>
  <c r="B12" i="11"/>
  <c r="F39" i="10"/>
  <c r="D6" i="11"/>
  <c r="B6" i="11" s="1"/>
  <c r="B4" i="11"/>
  <c r="C4" i="11" s="1"/>
  <c r="E4" i="11"/>
  <c r="D5" i="11"/>
  <c r="B5" i="11" s="1"/>
  <c r="B13" i="11"/>
  <c r="F40" i="10"/>
  <c r="B11" i="11"/>
  <c r="F38" i="10"/>
  <c r="I5" i="8" l="1"/>
  <c r="I6" i="8" s="1"/>
  <c r="I7" i="8" s="1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B20" i="11"/>
  <c r="G13" i="11"/>
  <c r="D13" i="11" s="1"/>
  <c r="L33" i="8"/>
  <c r="M27" i="8" s="1"/>
  <c r="C29" i="8"/>
  <c r="G29" i="8" s="1"/>
  <c r="L34" i="8" s="1"/>
  <c r="L29" i="8" s="1"/>
  <c r="E5" i="11"/>
  <c r="E6" i="11" s="1"/>
  <c r="G10" i="11"/>
  <c r="D10" i="11" s="1"/>
  <c r="G11" i="11"/>
  <c r="D11" i="11" s="1"/>
  <c r="G9" i="11"/>
  <c r="D9" i="11" s="1"/>
  <c r="G12" i="11"/>
  <c r="D12" i="11" s="1"/>
  <c r="G8" i="11"/>
  <c r="D8" i="11" s="1"/>
  <c r="G7" i="11"/>
  <c r="D7" i="11" s="1"/>
  <c r="C5" i="1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J19" i="8"/>
  <c r="J20" i="8" s="1"/>
  <c r="J21" i="8" s="1"/>
  <c r="J22" i="8" s="1"/>
  <c r="J23" i="8" s="1"/>
  <c r="J24" i="8" s="1"/>
  <c r="J25" i="8" s="1"/>
  <c r="J26" i="8" s="1"/>
  <c r="J27" i="8" s="1"/>
  <c r="J28" i="8" s="1"/>
  <c r="J9" i="8"/>
  <c r="J5" i="8" s="1"/>
  <c r="J6" i="8" s="1"/>
  <c r="J7" i="8" s="1"/>
  <c r="J8" i="8" s="1"/>
  <c r="M18" i="8" l="1"/>
  <c r="M16" i="8"/>
  <c r="M5" i="8"/>
  <c r="M11" i="8"/>
  <c r="M25" i="8"/>
  <c r="M22" i="8"/>
  <c r="J10" i="8"/>
  <c r="J11" i="8" s="1"/>
  <c r="J12" i="8" s="1"/>
  <c r="J13" i="8" s="1"/>
  <c r="J14" i="8" s="1"/>
  <c r="J15" i="8" s="1"/>
  <c r="J16" i="8" s="1"/>
  <c r="J17" i="8" s="1"/>
  <c r="J18" i="8" s="1"/>
  <c r="E7" i="11"/>
  <c r="E8" i="11" s="1"/>
  <c r="E9" i="11" s="1"/>
  <c r="E10" i="11" s="1"/>
  <c r="E11" i="11" s="1"/>
  <c r="M10" i="8"/>
  <c r="C5" i="8"/>
  <c r="B21" i="11"/>
  <c r="E29" i="8" s="1"/>
  <c r="E5" i="8" s="1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M13" i="8"/>
  <c r="M7" i="8"/>
  <c r="M6" i="8"/>
  <c r="M26" i="8"/>
  <c r="M17" i="8"/>
  <c r="M20" i="8"/>
  <c r="M14" i="8"/>
  <c r="M8" i="8"/>
  <c r="M28" i="8"/>
  <c r="M12" i="8"/>
  <c r="M19" i="8"/>
  <c r="M24" i="8"/>
  <c r="M23" i="8"/>
  <c r="M29" i="8"/>
  <c r="M15" i="8"/>
  <c r="M21" i="8"/>
  <c r="M9" i="8"/>
  <c r="L13" i="8" l="1"/>
  <c r="L6" i="8"/>
  <c r="L15" i="8"/>
  <c r="L21" i="8"/>
  <c r="L14" i="8"/>
  <c r="L12" i="8"/>
  <c r="L20" i="8"/>
  <c r="L24" i="8"/>
  <c r="L22" i="8"/>
  <c r="L9" i="8"/>
  <c r="L23" i="8"/>
  <c r="L18" i="8"/>
  <c r="L8" i="8"/>
  <c r="L11" i="8"/>
  <c r="L10" i="8"/>
  <c r="L17" i="8"/>
  <c r="L25" i="8"/>
  <c r="L26" i="8"/>
  <c r="L27" i="8"/>
  <c r="L19" i="8"/>
  <c r="L5" i="8"/>
  <c r="L7" i="8"/>
  <c r="L16" i="8"/>
  <c r="L28" i="8"/>
  <c r="C6" i="8"/>
  <c r="G5" i="8"/>
  <c r="E12" i="11"/>
  <c r="C7" i="8" l="1"/>
  <c r="G6" i="8"/>
  <c r="E13" i="11"/>
  <c r="C8" i="8" l="1"/>
  <c r="G7" i="8"/>
  <c r="E58" i="10"/>
  <c r="E54" i="10" s="1"/>
  <c r="G8" i="8" l="1"/>
  <c r="C9" i="8"/>
  <c r="E55" i="10"/>
  <c r="E57" i="10"/>
  <c r="D14" i="11"/>
  <c r="E56" i="10"/>
  <c r="C10" i="8" l="1"/>
  <c r="G9" i="8"/>
  <c r="E14" i="11"/>
  <c r="D16" i="11"/>
  <c r="C63" i="10" s="1"/>
  <c r="F63" i="10" s="1"/>
  <c r="D17" i="11"/>
  <c r="C64" i="10" s="1"/>
  <c r="F64" i="10" s="1"/>
  <c r="D15" i="11"/>
  <c r="C62" i="10" s="1"/>
  <c r="F62" i="10" s="1"/>
  <c r="C21" i="11" l="1"/>
  <c r="F29" i="8" s="1"/>
  <c r="F5" i="8" s="1"/>
  <c r="C11" i="8"/>
  <c r="G10" i="8"/>
  <c r="F65" i="10"/>
  <c r="E15" i="11"/>
  <c r="E16" i="11" s="1"/>
  <c r="E17" i="11" s="1"/>
  <c r="C12" i="8" l="1"/>
  <c r="G11" i="8"/>
  <c r="H29" i="8"/>
  <c r="F6" i="8"/>
  <c r="H5" i="8"/>
  <c r="C13" i="8" l="1"/>
  <c r="G12" i="8"/>
  <c r="F7" i="8"/>
  <c r="H6" i="8"/>
  <c r="C14" i="8" l="1"/>
  <c r="G13" i="8"/>
  <c r="F8" i="8"/>
  <c r="H7" i="8"/>
  <c r="C15" i="8" l="1"/>
  <c r="G14" i="8"/>
  <c r="F9" i="8"/>
  <c r="H8" i="8"/>
  <c r="C16" i="8" l="1"/>
  <c r="G15" i="8"/>
  <c r="F10" i="8"/>
  <c r="H9" i="8"/>
  <c r="C17" i="8" l="1"/>
  <c r="G16" i="8"/>
  <c r="F11" i="8"/>
  <c r="H10" i="8"/>
  <c r="C18" i="8" l="1"/>
  <c r="G17" i="8"/>
  <c r="F12" i="8"/>
  <c r="H11" i="8"/>
  <c r="C19" i="8" l="1"/>
  <c r="G18" i="8"/>
  <c r="F13" i="8"/>
  <c r="H12" i="8"/>
  <c r="C20" i="8" l="1"/>
  <c r="G19" i="8"/>
  <c r="F14" i="8"/>
  <c r="H13" i="8"/>
  <c r="C21" i="8" l="1"/>
  <c r="G20" i="8"/>
  <c r="F15" i="8"/>
  <c r="H14" i="8"/>
  <c r="C22" i="8" l="1"/>
  <c r="G21" i="8"/>
  <c r="F16" i="8"/>
  <c r="H15" i="8"/>
  <c r="C23" i="8" l="1"/>
  <c r="G22" i="8"/>
  <c r="F17" i="8"/>
  <c r="H17" i="8" s="1"/>
  <c r="H16" i="8"/>
  <c r="C24" i="8" l="1"/>
  <c r="G23" i="8"/>
  <c r="F18" i="8"/>
  <c r="C25" i="8" l="1"/>
  <c r="G24" i="8"/>
  <c r="F19" i="8"/>
  <c r="H18" i="8"/>
  <c r="C26" i="8" l="1"/>
  <c r="G25" i="8"/>
  <c r="F20" i="8"/>
  <c r="H19" i="8"/>
  <c r="C27" i="8" l="1"/>
  <c r="G26" i="8"/>
  <c r="F21" i="8"/>
  <c r="H20" i="8"/>
  <c r="C28" i="8" l="1"/>
  <c r="G28" i="8" s="1"/>
  <c r="G27" i="8"/>
  <c r="F22" i="8"/>
  <c r="H21" i="8"/>
  <c r="F23" i="8" l="1"/>
  <c r="H22" i="8"/>
  <c r="F24" i="8" l="1"/>
  <c r="H23" i="8"/>
  <c r="F25" i="8" l="1"/>
  <c r="H24" i="8"/>
  <c r="F26" i="8" l="1"/>
  <c r="H25" i="8"/>
  <c r="F27" i="8" l="1"/>
  <c r="H26" i="8"/>
  <c r="F28" i="8" l="1"/>
  <c r="H28" i="8" s="1"/>
  <c r="H27" i="8"/>
</calcChain>
</file>

<file path=xl/sharedStrings.xml><?xml version="1.0" encoding="utf-8"?>
<sst xmlns="http://schemas.openxmlformats.org/spreadsheetml/2006/main" count="540" uniqueCount="332">
  <si>
    <t>Material</t>
  </si>
  <si>
    <t>Source</t>
  </si>
  <si>
    <t>Clinker consumption in cement</t>
  </si>
  <si>
    <t>Total Cement consumption in the UK</t>
  </si>
  <si>
    <t>Consumed Cement Produced in UK</t>
  </si>
  <si>
    <t>Comsumed Cement Imported into UK</t>
  </si>
  <si>
    <t>SCM consumption in cement: Total</t>
  </si>
  <si>
    <t>GGBFS</t>
  </si>
  <si>
    <t>Estimate of 2022 GGBFS imports + GGBFS produced (Estimate based on 0.28:1)</t>
  </si>
  <si>
    <t xml:space="preserve">Fly Ash </t>
  </si>
  <si>
    <t>Total Cementitous Material Consumption UK</t>
  </si>
  <si>
    <t>Cement consumption for other uses</t>
  </si>
  <si>
    <t>Cement consumption for concrete</t>
  </si>
  <si>
    <t>Aggregate consumption for concrete</t>
  </si>
  <si>
    <t>Water consumption for concrete</t>
  </si>
  <si>
    <t>Assuming a 0.50 W/C ratio</t>
  </si>
  <si>
    <t>Chemical admixtures for concrete</t>
  </si>
  <si>
    <t>Assuming 1% of cement content</t>
  </si>
  <si>
    <t>Ready Mix Concrete + Precast Concrete from Drewionk et al., 2023</t>
  </si>
  <si>
    <t>Concrete consumption for buildings</t>
  </si>
  <si>
    <t>Concrete consumption for other uses</t>
  </si>
  <si>
    <t>Based off of UKQAA Report of Fly Ash for Cementitous Use</t>
  </si>
  <si>
    <t>Buildings</t>
  </si>
  <si>
    <t>Reference</t>
  </si>
  <si>
    <t>Material Flow Analysis of cement production in the UK 2022</t>
  </si>
  <si>
    <t>Total Concrete consumption UK</t>
  </si>
  <si>
    <t xml:space="preserve">UK </t>
  </si>
  <si>
    <t xml:space="preserve">Global </t>
  </si>
  <si>
    <t>Market Level</t>
  </si>
  <si>
    <t>Variable</t>
  </si>
  <si>
    <t>Unit</t>
  </si>
  <si>
    <t>Value</t>
  </si>
  <si>
    <t>Concrete Market</t>
  </si>
  <si>
    <t>Carbon footprint of concrete consumption</t>
  </si>
  <si>
    <t>MtCO2eq/yr</t>
  </si>
  <si>
    <t>-</t>
  </si>
  <si>
    <t>Calculated</t>
  </si>
  <si>
    <t>Carbon Intensity (kgCO2e/kg)</t>
  </si>
  <si>
    <t>Mass Ratio*Carbon Intensity</t>
  </si>
  <si>
    <t>Mass Ratio</t>
  </si>
  <si>
    <t>Concrete demand for other uses</t>
  </si>
  <si>
    <t>Drewniok et al., 2023</t>
  </si>
  <si>
    <t>Gravel</t>
  </si>
  <si>
    <t>Cement</t>
  </si>
  <si>
    <t>Demand for concrete buildings</t>
  </si>
  <si>
    <t>km2</t>
  </si>
  <si>
    <t>Sand</t>
  </si>
  <si>
    <t>Water</t>
  </si>
  <si>
    <t>Concrete material intensity in buildings</t>
  </si>
  <si>
    <t>kg/m2</t>
  </si>
  <si>
    <t>Average concrete carbon intensity</t>
  </si>
  <si>
    <t>kgCO2eq/kg</t>
  </si>
  <si>
    <t>Total</t>
  </si>
  <si>
    <t>Carbon intensity of the non-binder components</t>
  </si>
  <si>
    <t>Hafez et al., 2023</t>
  </si>
  <si>
    <t>Binder content</t>
  </si>
  <si>
    <t>kg/kg</t>
  </si>
  <si>
    <t>Average cement carbon intensity</t>
  </si>
  <si>
    <t>Clinker factor</t>
  </si>
  <si>
    <t>IEA, 2023</t>
  </si>
  <si>
    <t>SCM</t>
  </si>
  <si>
    <t>Average SCM carbon intensity</t>
  </si>
  <si>
    <t>Ecoinvent</t>
  </si>
  <si>
    <t>Material Use (Mt/yr)</t>
  </si>
  <si>
    <t>Electric energy required for indirect processes</t>
  </si>
  <si>
    <t>kWh/kg</t>
  </si>
  <si>
    <t>UKGov, 2019</t>
  </si>
  <si>
    <t>FA</t>
  </si>
  <si>
    <t>Carbon intensity of national electricity grid</t>
  </si>
  <si>
    <t>kgCO2eq/kWh</t>
  </si>
  <si>
    <t>Scrivener et al., 2018</t>
  </si>
  <si>
    <t>Average clinker carbon intensity</t>
  </si>
  <si>
    <t>Limestone Filler</t>
  </si>
  <si>
    <t>Clinker process emissions</t>
  </si>
  <si>
    <t>Shen et al., 2015</t>
  </si>
  <si>
    <t>Energy intensity of clinker production</t>
  </si>
  <si>
    <t>GJ/t clinker</t>
  </si>
  <si>
    <t>Carbon intensity of fuel mix</t>
  </si>
  <si>
    <t>kgCO2eq/MJ</t>
  </si>
  <si>
    <t>Summerbell, 2018</t>
  </si>
  <si>
    <t>Shi et al., 2021</t>
  </si>
  <si>
    <t>Process Emissions</t>
  </si>
  <si>
    <t>Energy Emissions</t>
  </si>
  <si>
    <t>Cement Emissions</t>
  </si>
  <si>
    <t>Clinker Emissions</t>
  </si>
  <si>
    <t>Non-Binder Component Emissions</t>
  </si>
  <si>
    <t>SCM Emissions</t>
  </si>
  <si>
    <t>Electricity Emissions</t>
  </si>
  <si>
    <t>Monteiro et al., 2017; IEA, 2021</t>
  </si>
  <si>
    <t>Our World in Data, 2022</t>
  </si>
  <si>
    <t>IEA, 2022</t>
  </si>
  <si>
    <t>IEA, 2018</t>
  </si>
  <si>
    <t>Best Practice</t>
  </si>
  <si>
    <t>ERMCO, 2019; BS5000-1:2023</t>
  </si>
  <si>
    <t>Clinker Market</t>
  </si>
  <si>
    <t>Cement Market</t>
  </si>
  <si>
    <t>UK</t>
  </si>
  <si>
    <t>Scenario</t>
  </si>
  <si>
    <t>Global</t>
  </si>
  <si>
    <t>Process Emissions (kgCO2eq/kg)</t>
  </si>
  <si>
    <t>Energy Emissions (kgCO2eq/kg)</t>
  </si>
  <si>
    <t>Average Clinker Carbon Intensity (kgCO2eq/kg)</t>
  </si>
  <si>
    <t>Clinker Emissions (kgCO2eq/kg)</t>
  </si>
  <si>
    <t>SCM Emissions (kgCO2eq/kg)</t>
  </si>
  <si>
    <t>Electricity Emissions (kgCO2eq/kg)</t>
  </si>
  <si>
    <t>Average Cement Carbon Intensity (kgCO2eq/kg)</t>
  </si>
  <si>
    <t>Cement Emissions (kgCO2eq/kg)</t>
  </si>
  <si>
    <t>Non-Binder Component Emissions (kgCO2eq/kg)</t>
  </si>
  <si>
    <t>Average Concrete Carbon Intensity (kgCO2eq/kg)</t>
  </si>
  <si>
    <t>Equations</t>
  </si>
  <si>
    <t>Avg. cement carbon intensity = Avg. clinker carbon intensity* clinker factor + Avg. SCM carbon intensity* (1-clinker factor) + Electric energy required for indirect processes* carbon intensity of national UK electricity grid</t>
  </si>
  <si>
    <t>Avg. clinker carbon intensity = Clinker process emissions  + (Energy intensity in clinker production* carbon intensity of fuel mix)</t>
  </si>
  <si>
    <t>Avg. concrete carbon intensity = Avg. cement carbon intensity* binder content (kg/kg) + ∑carbon intensity of the non-binder components*non-binder component mass ratio</t>
  </si>
  <si>
    <t>UK Clinker</t>
  </si>
  <si>
    <t>Global Clinker</t>
  </si>
  <si>
    <t>Best Practice Clinker</t>
  </si>
  <si>
    <t>UK Cement</t>
  </si>
  <si>
    <t>Global Cement</t>
  </si>
  <si>
    <t xml:space="preserve">Best Practice Cement </t>
  </si>
  <si>
    <t>UK Concrete</t>
  </si>
  <si>
    <t>Global Concrete</t>
  </si>
  <si>
    <t>Best Practice Concrete</t>
  </si>
  <si>
    <t>Global Carbon Intensity (kgCO2e/kg)</t>
  </si>
  <si>
    <t xml:space="preserve">Reference </t>
  </si>
  <si>
    <t>Ecoinvent {RoW}</t>
  </si>
  <si>
    <t>Mass of Typical Concrete Mix Design (kg)</t>
  </si>
  <si>
    <t>Emission Type</t>
  </si>
  <si>
    <t>Product Level Demand/Supply (Mt/yr)</t>
  </si>
  <si>
    <t>Benchmarking Value</t>
  </si>
  <si>
    <t>Strategy</t>
  </si>
  <si>
    <t>Carbon Capture and Storage</t>
  </si>
  <si>
    <t>Clinker Process Emissions</t>
  </si>
  <si>
    <t>Recycling of Concrete Fines</t>
  </si>
  <si>
    <t>Average Clinker Carbon Intensity</t>
  </si>
  <si>
    <t>Electrification</t>
  </si>
  <si>
    <t>Alternative Fuels</t>
  </si>
  <si>
    <t>Carbon Intensity of Fuel Mix</t>
  </si>
  <si>
    <t>Thermal Efficiency Improvements</t>
  </si>
  <si>
    <t>Energy Intensity of Clinker Production</t>
  </si>
  <si>
    <t>Decarbonization of Electricity</t>
  </si>
  <si>
    <t>Carbon Intensity of National Electricity Grid</t>
  </si>
  <si>
    <t>Alternative Binders</t>
  </si>
  <si>
    <t>Average Cement Carbon Intensity</t>
  </si>
  <si>
    <t>Clinker Replacement</t>
  </si>
  <si>
    <t>Clinker Factor</t>
  </si>
  <si>
    <t>Reduction of Overspecification</t>
  </si>
  <si>
    <t>Binder Content</t>
  </si>
  <si>
    <t>Concrete Mix Design Optimization</t>
  </si>
  <si>
    <t>Improved Design of Structural Elements</t>
  </si>
  <si>
    <t>Concrete Material Intensity in Buildings</t>
  </si>
  <si>
    <t>Production by Strength Class</t>
  </si>
  <si>
    <t>&lt;C16/20</t>
  </si>
  <si>
    <t>C16/20-C20/25</t>
  </si>
  <si>
    <t>C25/30-C30/37</t>
  </si>
  <si>
    <t>&gt;=C35/45</t>
  </si>
  <si>
    <t xml:space="preserve">Sum </t>
  </si>
  <si>
    <t xml:space="preserve">Strength Class Category </t>
  </si>
  <si>
    <t>Strength Class</t>
  </si>
  <si>
    <t>Minimum Binder content (kg/m3)</t>
  </si>
  <si>
    <t>C6/8</t>
  </si>
  <si>
    <t>C8/10</t>
  </si>
  <si>
    <t>C12/15</t>
  </si>
  <si>
    <t>C16/20</t>
  </si>
  <si>
    <t>C20/25</t>
  </si>
  <si>
    <t>C25/30</t>
  </si>
  <si>
    <t>C30/37</t>
  </si>
  <si>
    <t>C35/45</t>
  </si>
  <si>
    <t>C40/50</t>
  </si>
  <si>
    <t>BAU</t>
  </si>
  <si>
    <t>Year</t>
  </si>
  <si>
    <t>BAU Carbon Emissions (MtCO2eq/yr)</t>
  </si>
  <si>
    <t>Reduction Potential (Adapted from Alastair et al., 2023)</t>
  </si>
  <si>
    <t>Minimum</t>
  </si>
  <si>
    <t>Maximum</t>
  </si>
  <si>
    <t>Market Share (ERMCO, 2019)</t>
  </si>
  <si>
    <t>C28/35</t>
  </si>
  <si>
    <t>Evalulating Best Practice Lowest Binder Content</t>
  </si>
  <si>
    <t>Theoredical Decarbonation Potential in 2050 (MtCO2eq/year) = Product-level benchmark carbon intensity (kgCO2eq/kg) * Reduction potential beyond the current average (%) * Product-level demand/supply (Mt/year)</t>
  </si>
  <si>
    <t>Equation:</t>
  </si>
  <si>
    <t>Carbon Intensity at each Market Level (Graph)</t>
  </si>
  <si>
    <t>Clinker use in Cement</t>
  </si>
  <si>
    <t>Cement use in Concrete</t>
  </si>
  <si>
    <t>Concrete use in Buildings</t>
  </si>
  <si>
    <t>Percentages</t>
  </si>
  <si>
    <t>BP Demand of Buildings/(%) of  Concrete in Buildings</t>
  </si>
  <si>
    <t>BP Demand of Concrete/(%) of Cement in Concrete * BP Binder Content</t>
  </si>
  <si>
    <t>BP Demand of Cement/(%) of Clinker in Cement * BP Clinker Factor</t>
  </si>
  <si>
    <t>BP Carbon Emissions (MtCO2eq/year)</t>
  </si>
  <si>
    <t xml:space="preserve"> (BAU Carbon Emissions (MtCO2eq/year) - BP Carbon Emissions (MtCO2eq/year))+0.2*BP Demand(Mt/yr)(Avg. Cement Carbon Intensity (kgCO2eq/kg)- BP Cement Carbon Intensity(kgCO2eq/kg))</t>
  </si>
  <si>
    <t>Best Practice Demand (Mt/year)</t>
  </si>
  <si>
    <t>Equation for BP Demand</t>
  </si>
  <si>
    <t>Amount (Mt/yr)</t>
  </si>
  <si>
    <t>Carbon Savings (MtCO2eq)</t>
  </si>
  <si>
    <t>Carbon Emissions (MtCO2eq)</t>
  </si>
  <si>
    <t>(Demand for concrete buildings*Concrete Material Intensity in Buildings)/1000</t>
  </si>
  <si>
    <t>Concrete consumption in buildings</t>
  </si>
  <si>
    <t>Clinker production in cement</t>
  </si>
  <si>
    <t>Bolson et al., 2024</t>
  </si>
  <si>
    <t>Check S.Cal. Sheet</t>
  </si>
  <si>
    <t>Clinker</t>
  </si>
  <si>
    <t>Gypsum</t>
  </si>
  <si>
    <t>Limestone filler</t>
  </si>
  <si>
    <t>GGBS</t>
  </si>
  <si>
    <t>Calcined clays</t>
  </si>
  <si>
    <t>%</t>
  </si>
  <si>
    <t>homogenized global mix %</t>
  </si>
  <si>
    <t>Hafez et al., 2024</t>
  </si>
  <si>
    <t>End terrace</t>
  </si>
  <si>
    <t>Mid terrace</t>
  </si>
  <si>
    <t>Semi-detached</t>
  </si>
  <si>
    <t>Detached</t>
  </si>
  <si>
    <t>Bungalow</t>
  </si>
  <si>
    <t>Converted flat</t>
  </si>
  <si>
    <t>Residential (4&lt;)</t>
  </si>
  <si>
    <t>Residential (5-6)</t>
  </si>
  <si>
    <t>Residential (7-10)</t>
  </si>
  <si>
    <t>Residential (&gt;10)</t>
  </si>
  <si>
    <t>Office buildings</t>
  </si>
  <si>
    <t>Industrial Buildings</t>
  </si>
  <si>
    <t>Retail buildings</t>
  </si>
  <si>
    <t>Other non-domestic buildings</t>
  </si>
  <si>
    <t>Avg. material Intensity</t>
  </si>
  <si>
    <t>Min. material Intensity</t>
  </si>
  <si>
    <t>Soonsawad et al., 2022</t>
  </si>
  <si>
    <t>Aerhart 2022</t>
  </si>
  <si>
    <t>deWolf et al., 2016</t>
  </si>
  <si>
    <t>El Hanandeh, 2015</t>
  </si>
  <si>
    <t>Evangelista 2018</t>
  </si>
  <si>
    <t>Heeren 2019</t>
  </si>
  <si>
    <t>Miatto et al., 2019</t>
  </si>
  <si>
    <t>Mosteiro-Romero et al., (2014)</t>
  </si>
  <si>
    <t>Reza, B.,et al. (2014).</t>
  </si>
  <si>
    <t>Sprecher 2021</t>
  </si>
  <si>
    <t>Marinova et al., 2020</t>
  </si>
  <si>
    <t>Minimum Binder Content Max Value</t>
  </si>
  <si>
    <t>Minimum BC  * Market Share</t>
  </si>
  <si>
    <t>Material Flow Analysis</t>
  </si>
  <si>
    <t>Social housing demand</t>
  </si>
  <si>
    <t>Infrastructure development</t>
  </si>
  <si>
    <t>2025 market emissions</t>
  </si>
  <si>
    <t>Net-zero</t>
  </si>
  <si>
    <t>A</t>
  </si>
  <si>
    <t>B</t>
  </si>
  <si>
    <t>D</t>
  </si>
  <si>
    <t>E</t>
  </si>
  <si>
    <t>F</t>
  </si>
  <si>
    <t>Sum</t>
  </si>
  <si>
    <t>Additions</t>
  </si>
  <si>
    <t>Concrete Mix Design Optimisation</t>
  </si>
  <si>
    <t>Decarbonisation of Electricity</t>
  </si>
  <si>
    <t>Clinker (Imported)</t>
  </si>
  <si>
    <t>Clinker (Produced)</t>
  </si>
  <si>
    <t>From BS8500-1:2023</t>
  </si>
  <si>
    <t>Concrete</t>
  </si>
  <si>
    <t>Product</t>
  </si>
  <si>
    <t>Reduction Sum:</t>
  </si>
  <si>
    <t>Reduction Potential Average</t>
  </si>
  <si>
    <t xml:space="preserve">Strategy </t>
  </si>
  <si>
    <t>Ratio</t>
  </si>
  <si>
    <t>Mt/yr</t>
  </si>
  <si>
    <t>Average</t>
  </si>
  <si>
    <t>High Probability: Minimum Reduction Potential as Outlined in Roadmaps (MtCO2eq/year)</t>
  </si>
  <si>
    <t>Low Probability: Best Practice + No Demand Reduction Required</t>
  </si>
  <si>
    <t>High Maturity Theoredical Decarbonation Potential in 2050 (TDP)</t>
  </si>
  <si>
    <t>Compounded High Maturity Best Practice in 2050</t>
  </si>
  <si>
    <t>Required Reduction from Low Maturity in 2050</t>
  </si>
  <si>
    <t>Compounded High Maturity (MtCO2eq/yr)</t>
  </si>
  <si>
    <t>Compounded High Maturity Best Practice Equation:</t>
  </si>
  <si>
    <t xml:space="preserve">Ratio BP HM/Compounded HM </t>
  </si>
  <si>
    <t>HM Best Practice</t>
  </si>
  <si>
    <t>High Probability</t>
  </si>
  <si>
    <t>Low Probability</t>
  </si>
  <si>
    <t>HM</t>
  </si>
  <si>
    <t>LM</t>
  </si>
  <si>
    <t xml:space="preserve">Low Probability </t>
  </si>
  <si>
    <t>Decarbonisation Potential (MtCO2eq/year)</t>
  </si>
  <si>
    <t>Carbon intensity of LM intervention (kgCO2eq/kg)</t>
  </si>
  <si>
    <t>Marsh et al. (2023)</t>
  </si>
  <si>
    <t>Dunant et al. (2024)</t>
  </si>
  <si>
    <t>Nikravan et al., (2023)</t>
  </si>
  <si>
    <t>MPA, 2023</t>
  </si>
  <si>
    <t>Drewniok et al. (2023)</t>
  </si>
  <si>
    <t>CE</t>
  </si>
  <si>
    <t>LM Implementation</t>
  </si>
  <si>
    <t>HM Implementation</t>
  </si>
  <si>
    <t>Circularity Solution Implementation</t>
  </si>
  <si>
    <t>MPA, 2025</t>
  </si>
  <si>
    <t>Reduction Potential (Reported by Alastair et al., 2023)</t>
  </si>
  <si>
    <t>Sum:</t>
  </si>
  <si>
    <t>Concrete volumes required to be produced in 2050 (Mt)</t>
  </si>
  <si>
    <t xml:space="preserve">Concrete volumes required to be produced in 2050 to achieve the decarbonisation potential </t>
  </si>
  <si>
    <t xml:space="preserve">High Probability </t>
  </si>
  <si>
    <t>Increase/Reduction</t>
  </si>
  <si>
    <t>Total Carbon Emissions (Mt CO2eq)</t>
  </si>
  <si>
    <t>Low Maturity DP (Mt CO2eq)</t>
  </si>
  <si>
    <t>High Maturity DP (Mt CO2eq)</t>
  </si>
  <si>
    <t>Average Global</t>
  </si>
  <si>
    <t>Average UK</t>
  </si>
  <si>
    <t>Carbon Intensity (kgCO2eq/kg)</t>
  </si>
  <si>
    <t>Calculated Lowest Binder Conent (kg/m3)</t>
  </si>
  <si>
    <t xml:space="preserve">Average SCM Carbon Intensity </t>
  </si>
  <si>
    <t>UK Carbon Intensity (kgCO2e/kg)</t>
  </si>
  <si>
    <t>% of new construction</t>
  </si>
  <si>
    <t>2022 Average</t>
  </si>
  <si>
    <t>Best practice Average</t>
  </si>
  <si>
    <t>2050 Min (kg/m2)</t>
  </si>
  <si>
    <t>2050 Max (kg/m2)</t>
  </si>
  <si>
    <t>2050 Avg (kg/m2)</t>
  </si>
  <si>
    <t>2050 St.Dev</t>
  </si>
  <si>
    <t>Average Concrete material intensity in buildings (2050)  (kg/m2)</t>
  </si>
  <si>
    <t>Average Concrete material intensity in buildings (2022 and Best Practice)  (kg/m2)</t>
  </si>
  <si>
    <t>Average Non Cementitous Components Carbon Intensity</t>
  </si>
  <si>
    <t>High Maturity Best Practice Reduction</t>
  </si>
  <si>
    <t xml:space="preserve"> Compounded High Maturity Decarbonisation Potential</t>
  </si>
  <si>
    <t>Year Number (25yrs)</t>
  </si>
  <si>
    <t>Exponential Implementation (MtCO2eq)</t>
  </si>
  <si>
    <t>B Values (For Exponential Curves)</t>
  </si>
  <si>
    <t>Maximum (kg/m3)</t>
  </si>
  <si>
    <t>Sheet 1: Material Flow Analysis</t>
  </si>
  <si>
    <t>Sheet 2: Carbon Intensity</t>
  </si>
  <si>
    <t>Sheet 3: Decarbonization Potential</t>
  </si>
  <si>
    <t>Sheet 4: Decarbonization Waterfall</t>
  </si>
  <si>
    <t>Sheet 5: Cumulative Carbon Emissions</t>
  </si>
  <si>
    <t xml:space="preserve">Sheet 6: Supplementary Calculations </t>
  </si>
  <si>
    <t>Provides the values used to construct the material flow analysis for this study.</t>
  </si>
  <si>
    <t>Provides the data used to determine the carbon intensity for clinker, cement, and concrete for all three scenarios (UK, global, and best practice).</t>
  </si>
  <si>
    <t xml:space="preserve">Provides the decarbonization potential of each strategy (minimum, maximum, average, and best practice) in addition to the decarbonization potential the low and high probability scenarios. </t>
  </si>
  <si>
    <t xml:space="preserve">Graphs the business-as-usual emissions from cement and concrete consumption in the UK by 2050 and the combined decarbonisation potential values from this study’s analysis of low and high probability of strategy implementation </t>
  </si>
  <si>
    <t xml:space="preserve">Presents the cumulative decarbonisation potential by 2050 for the low probability pathway, the high probability pathway, and the UK’s net-zero pathway outlined by the Climate Change Committee </t>
  </si>
  <si>
    <t>Additional tables detailing parameter values used to calculate the carbon intensity of cement and concrete (e.g. average SCM carbon intensity, binder content, and material intensity in buildings)</t>
  </si>
  <si>
    <t>MPA, 2025;  Scrivener et al., 2018; Shi et al., 2021</t>
  </si>
  <si>
    <t xml:space="preserve">This supplementary information Excel sheet provides full details of the methods used for the analysis presented in the article                                                                                                                                                                             Rihner et al. “Thousand cuts: a realistic route to decarbonise the UK cement and concrete sector by 2050.”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</si>
</sst>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%"/>
    <numFmt numFmtId="166" formatCode="0.0000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222222"/>
      <name val="Arial"/>
      <family val="2"/>
    </font>
    <font>
      <sz val="14"/>
      <color theme="0"/>
      <name val="Calibri"/>
      <family val="2"/>
      <scheme val="minor"/>
    </font>
    <font>
      <sz val="14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C5ED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6" borderId="1" xfId="0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0" fillId="13" borderId="1" xfId="0" applyFill="1" applyBorder="1" applyAlignment="1">
      <alignment horizontal="left"/>
    </xf>
    <xf numFmtId="0" fontId="2" fillId="12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0" borderId="0" xfId="0" applyFont="1"/>
    <xf numFmtId="0" fontId="2" fillId="12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0" fontId="0" fillId="9" borderId="1" xfId="0" applyNumberFormat="1" applyFill="1" applyBorder="1" applyAlignment="1">
      <alignment horizontal="center"/>
    </xf>
    <xf numFmtId="10" fontId="0" fillId="10" borderId="1" xfId="0" applyNumberFormat="1" applyFill="1" applyBorder="1" applyAlignment="1">
      <alignment horizontal="center"/>
    </xf>
    <xf numFmtId="10" fontId="0" fillId="11" borderId="1" xfId="0" applyNumberFormat="1" applyFill="1" applyBorder="1" applyAlignment="1">
      <alignment horizontal="center"/>
    </xf>
    <xf numFmtId="10" fontId="0" fillId="13" borderId="1" xfId="0" applyNumberFormat="1" applyFill="1" applyBorder="1" applyAlignment="1">
      <alignment horizontal="center"/>
    </xf>
    <xf numFmtId="0" fontId="3" fillId="0" borderId="0" xfId="0" applyFont="1"/>
    <xf numFmtId="0" fontId="2" fillId="0" borderId="8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2" fillId="12" borderId="1" xfId="0" applyFont="1" applyFill="1" applyBorder="1"/>
    <xf numFmtId="0" fontId="8" fillId="13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2" fillId="1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14" borderId="1" xfId="0" applyFont="1" applyFill="1" applyBorder="1" applyAlignment="1">
      <alignment horizontal="left"/>
    </xf>
    <xf numFmtId="0" fontId="9" fillId="0" borderId="0" xfId="0" applyFont="1"/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10" borderId="1" xfId="0" applyFont="1" applyFill="1" applyBorder="1"/>
    <xf numFmtId="0" fontId="9" fillId="10" borderId="2" xfId="0" applyFont="1" applyFill="1" applyBorder="1"/>
    <xf numFmtId="0" fontId="9" fillId="10" borderId="11" xfId="0" applyFont="1" applyFill="1" applyBorder="1" applyAlignment="1">
      <alignment horizontal="center"/>
    </xf>
    <xf numFmtId="0" fontId="9" fillId="10" borderId="12" xfId="0" applyFont="1" applyFill="1" applyBorder="1" applyAlignment="1">
      <alignment horizontal="left"/>
    </xf>
    <xf numFmtId="0" fontId="11" fillId="10" borderId="12" xfId="2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0" fontId="9" fillId="9" borderId="1" xfId="0" applyFont="1" applyFill="1" applyBorder="1"/>
    <xf numFmtId="0" fontId="9" fillId="9" borderId="2" xfId="0" applyFont="1" applyFill="1" applyBorder="1"/>
    <xf numFmtId="0" fontId="9" fillId="9" borderId="11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left"/>
    </xf>
    <xf numFmtId="0" fontId="9" fillId="9" borderId="12" xfId="0" applyFont="1" applyFill="1" applyBorder="1" applyAlignment="1">
      <alignment horizontal="left" vertical="center"/>
    </xf>
    <xf numFmtId="2" fontId="9" fillId="9" borderId="11" xfId="0" applyNumberFormat="1" applyFont="1" applyFill="1" applyBorder="1" applyAlignment="1">
      <alignment horizontal="center"/>
    </xf>
    <xf numFmtId="0" fontId="11" fillId="9" borderId="12" xfId="2" applyFont="1" applyFill="1" applyBorder="1" applyAlignment="1">
      <alignment horizontal="left"/>
    </xf>
    <xf numFmtId="0" fontId="9" fillId="11" borderId="1" xfId="0" applyFont="1" applyFill="1" applyBorder="1"/>
    <xf numFmtId="0" fontId="9" fillId="11" borderId="2" xfId="0" applyFont="1" applyFill="1" applyBorder="1"/>
    <xf numFmtId="0" fontId="9" fillId="11" borderId="11" xfId="0" applyFont="1" applyFill="1" applyBorder="1" applyAlignment="1">
      <alignment horizontal="center"/>
    </xf>
    <xf numFmtId="0" fontId="9" fillId="11" borderId="12" xfId="0" applyFont="1" applyFill="1" applyBorder="1" applyAlignment="1">
      <alignment horizontal="left"/>
    </xf>
    <xf numFmtId="2" fontId="9" fillId="11" borderId="11" xfId="0" applyNumberFormat="1" applyFont="1" applyFill="1" applyBorder="1" applyAlignment="1">
      <alignment horizontal="center"/>
    </xf>
    <xf numFmtId="0" fontId="9" fillId="13" borderId="1" xfId="0" applyFont="1" applyFill="1" applyBorder="1"/>
    <xf numFmtId="0" fontId="9" fillId="13" borderId="2" xfId="0" applyFont="1" applyFill="1" applyBorder="1"/>
    <xf numFmtId="0" fontId="9" fillId="13" borderId="11" xfId="0" applyFont="1" applyFill="1" applyBorder="1" applyAlignment="1">
      <alignment horizontal="center"/>
    </xf>
    <xf numFmtId="0" fontId="9" fillId="13" borderId="12" xfId="0" applyFont="1" applyFill="1" applyBorder="1" applyAlignment="1">
      <alignment horizontal="left"/>
    </xf>
    <xf numFmtId="0" fontId="10" fillId="1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9" fillId="10" borderId="1" xfId="0" applyNumberFormat="1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wrapText="1"/>
    </xf>
    <xf numFmtId="0" fontId="8" fillId="10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2" fontId="0" fillId="13" borderId="1" xfId="0" applyNumberFormat="1" applyFill="1" applyBorder="1" applyAlignment="1">
      <alignment horizontal="center" vertical="center"/>
    </xf>
    <xf numFmtId="2" fontId="9" fillId="13" borderId="11" xfId="0" applyNumberFormat="1" applyFont="1" applyFill="1" applyBorder="1" applyAlignment="1">
      <alignment horizontal="center"/>
    </xf>
    <xf numFmtId="167" fontId="9" fillId="13" borderId="11" xfId="0" applyNumberFormat="1" applyFont="1" applyFill="1" applyBorder="1" applyAlignment="1">
      <alignment horizontal="center"/>
    </xf>
    <xf numFmtId="2" fontId="9" fillId="9" borderId="1" xfId="0" applyNumberFormat="1" applyFont="1" applyFill="1" applyBorder="1" applyAlignment="1">
      <alignment horizontal="center"/>
    </xf>
    <xf numFmtId="2" fontId="13" fillId="9" borderId="1" xfId="0" applyNumberFormat="1" applyFont="1" applyFill="1" applyBorder="1" applyAlignment="1">
      <alignment horizontal="center"/>
    </xf>
    <xf numFmtId="164" fontId="9" fillId="11" borderId="1" xfId="0" applyNumberFormat="1" applyFont="1" applyFill="1" applyBorder="1" applyAlignment="1">
      <alignment horizontal="center"/>
    </xf>
    <xf numFmtId="164" fontId="14" fillId="11" borderId="1" xfId="0" applyNumberFormat="1" applyFont="1" applyFill="1" applyBorder="1" applyAlignment="1">
      <alignment horizontal="center"/>
    </xf>
    <xf numFmtId="2" fontId="9" fillId="15" borderId="1" xfId="0" applyNumberFormat="1" applyFont="1" applyFill="1" applyBorder="1" applyAlignment="1">
      <alignment horizontal="center"/>
    </xf>
    <xf numFmtId="2" fontId="9" fillId="15" borderId="1" xfId="0" applyNumberFormat="1" applyFont="1" applyFill="1" applyBorder="1"/>
    <xf numFmtId="2" fontId="9" fillId="15" borderId="1" xfId="0" applyNumberFormat="1" applyFont="1" applyFill="1" applyBorder="1" applyAlignment="1">
      <alignment horizontal="left"/>
    </xf>
    <xf numFmtId="2" fontId="9" fillId="10" borderId="11" xfId="0" applyNumberFormat="1" applyFont="1" applyFill="1" applyBorder="1" applyAlignment="1">
      <alignment horizontal="center"/>
    </xf>
    <xf numFmtId="2" fontId="12" fillId="10" borderId="1" xfId="0" applyNumberFormat="1" applyFont="1" applyFill="1" applyBorder="1" applyAlignment="1">
      <alignment horizontal="center"/>
    </xf>
    <xf numFmtId="0" fontId="11" fillId="10" borderId="12" xfId="2" applyFont="1" applyFill="1" applyBorder="1" applyAlignment="1">
      <alignment horizontal="left" vertical="center" wrapText="1"/>
    </xf>
    <xf numFmtId="9" fontId="0" fillId="0" borderId="1" xfId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" fontId="9" fillId="13" borderId="13" xfId="0" applyNumberFormat="1" applyFont="1" applyFill="1" applyBorder="1" applyAlignment="1">
      <alignment horizontal="center"/>
    </xf>
    <xf numFmtId="2" fontId="0" fillId="0" borderId="0" xfId="0" applyNumberFormat="1"/>
    <xf numFmtId="2" fontId="6" fillId="0" borderId="0" xfId="0" applyNumberFormat="1" applyFont="1" applyAlignment="1">
      <alignment horizontal="center"/>
    </xf>
    <xf numFmtId="0" fontId="15" fillId="18" borderId="1" xfId="0" applyFont="1" applyFill="1" applyBorder="1" applyAlignment="1">
      <alignment horizontal="center"/>
    </xf>
    <xf numFmtId="2" fontId="9" fillId="0" borderId="0" xfId="0" applyNumberFormat="1" applyFont="1"/>
    <xf numFmtId="0" fontId="3" fillId="3" borderId="1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5" borderId="1" xfId="0" applyFill="1" applyBorder="1"/>
    <xf numFmtId="167" fontId="2" fillId="8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10" fontId="0" fillId="0" borderId="1" xfId="0" applyNumberFormat="1" applyBorder="1" applyAlignment="1">
      <alignment horizontal="center"/>
    </xf>
    <xf numFmtId="0" fontId="0" fillId="8" borderId="1" xfId="0" applyFill="1" applyBorder="1"/>
    <xf numFmtId="2" fontId="2" fillId="0" borderId="1" xfId="0" applyNumberFormat="1" applyFont="1" applyBorder="1"/>
    <xf numFmtId="2" fontId="2" fillId="2" borderId="1" xfId="0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right"/>
    </xf>
    <xf numFmtId="2" fontId="9" fillId="0" borderId="1" xfId="0" applyNumberFormat="1" applyFont="1" applyBorder="1" applyAlignment="1">
      <alignment horizontal="center"/>
    </xf>
    <xf numFmtId="0" fontId="9" fillId="21" borderId="1" xfId="0" applyFont="1" applyFill="1" applyBorder="1"/>
    <xf numFmtId="0" fontId="2" fillId="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2" fontId="6" fillId="17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/>
    </xf>
    <xf numFmtId="2" fontId="9" fillId="11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6" fillId="0" borderId="0" xfId="0" applyFont="1" applyFill="1" applyBorder="1"/>
    <xf numFmtId="9" fontId="0" fillId="0" borderId="0" xfId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9" fillId="9" borderId="12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center"/>
    </xf>
    <xf numFmtId="0" fontId="9" fillId="13" borderId="15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/>
    </xf>
    <xf numFmtId="0" fontId="15" fillId="1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9" fillId="13" borderId="13" xfId="0" applyFont="1" applyFill="1" applyBorder="1" applyAlignment="1">
      <alignment horizontal="center"/>
    </xf>
    <xf numFmtId="0" fontId="9" fillId="13" borderId="15" xfId="0" applyFont="1" applyFill="1" applyBorder="1" applyAlignment="1">
      <alignment horizontal="left"/>
    </xf>
    <xf numFmtId="2" fontId="0" fillId="0" borderId="1" xfId="0" applyNumberFormat="1" applyFill="1" applyBorder="1" applyAlignment="1">
      <alignment horizontal="center"/>
    </xf>
    <xf numFmtId="10" fontId="0" fillId="11" borderId="1" xfId="1" applyNumberFormat="1" applyFont="1" applyFill="1" applyBorder="1" applyAlignment="1">
      <alignment horizontal="center"/>
    </xf>
    <xf numFmtId="10" fontId="0" fillId="10" borderId="1" xfId="1" applyNumberFormat="1" applyFont="1" applyFill="1" applyBorder="1" applyAlignment="1">
      <alignment horizontal="center"/>
    </xf>
    <xf numFmtId="10" fontId="0" fillId="13" borderId="1" xfId="1" applyNumberFormat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2" fontId="0" fillId="0" borderId="1" xfId="0" applyNumberFormat="1" applyBorder="1" applyAlignment="1"/>
    <xf numFmtId="2" fontId="2" fillId="0" borderId="1" xfId="0" applyNumberFormat="1" applyFont="1" applyFill="1" applyBorder="1" applyAlignment="1"/>
    <xf numFmtId="0" fontId="2" fillId="12" borderId="8" xfId="0" applyFont="1" applyFill="1" applyBorder="1" applyAlignment="1">
      <alignment horizontal="center" vertical="center"/>
    </xf>
    <xf numFmtId="0" fontId="0" fillId="13" borderId="8" xfId="0" applyFill="1" applyBorder="1" applyAlignment="1">
      <alignment horizontal="center"/>
    </xf>
    <xf numFmtId="2" fontId="0" fillId="7" borderId="22" xfId="0" applyNumberFormat="1" applyFill="1" applyBorder="1" applyAlignment="1"/>
    <xf numFmtId="2" fontId="0" fillId="7" borderId="6" xfId="0" applyNumberFormat="1" applyFill="1" applyBorder="1" applyAlignment="1"/>
    <xf numFmtId="2" fontId="0" fillId="0" borderId="1" xfId="1" applyNumberFormat="1" applyFont="1" applyBorder="1" applyAlignment="1">
      <alignment horizontal="center"/>
    </xf>
    <xf numFmtId="2" fontId="0" fillId="17" borderId="1" xfId="0" applyNumberForma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2" fontId="2" fillId="6" borderId="12" xfId="0" applyNumberFormat="1" applyFont="1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17" borderId="14" xfId="0" applyFont="1" applyFill="1" applyBorder="1" applyAlignment="1">
      <alignment horizontal="center"/>
    </xf>
    <xf numFmtId="0" fontId="0" fillId="17" borderId="14" xfId="0" applyFill="1" applyBorder="1" applyAlignment="1">
      <alignment horizontal="center"/>
    </xf>
    <xf numFmtId="2" fontId="2" fillId="6" borderId="15" xfId="0" applyNumberFormat="1" applyFont="1" applyFill="1" applyBorder="1" applyAlignment="1">
      <alignment horizontal="center"/>
    </xf>
    <xf numFmtId="1" fontId="2" fillId="6" borderId="7" xfId="0" applyNumberFormat="1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2" fillId="14" borderId="12" xfId="0" applyFont="1" applyFill="1" applyBorder="1" applyAlignment="1">
      <alignment horizontal="center" wrapText="1"/>
    </xf>
    <xf numFmtId="0" fontId="6" fillId="1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22" borderId="1" xfId="0" applyFont="1" applyFill="1" applyBorder="1" applyAlignment="1">
      <alignment horizontal="center"/>
    </xf>
    <xf numFmtId="1" fontId="17" fillId="0" borderId="0" xfId="0" applyNumberFormat="1" applyFont="1" applyAlignment="1">
      <alignment horizontal="left"/>
    </xf>
    <xf numFmtId="0" fontId="0" fillId="0" borderId="0" xfId="0" applyFill="1" applyBorder="1" applyAlignment="1"/>
    <xf numFmtId="0" fontId="2" fillId="14" borderId="1" xfId="0" applyFont="1" applyFill="1" applyBorder="1" applyAlignment="1"/>
    <xf numFmtId="0" fontId="2" fillId="14" borderId="7" xfId="0" applyFont="1" applyFill="1" applyBorder="1" applyAlignment="1"/>
    <xf numFmtId="1" fontId="6" fillId="0" borderId="1" xfId="0" applyNumberFormat="1" applyFont="1" applyBorder="1" applyAlignment="1">
      <alignment horizontal="center"/>
    </xf>
    <xf numFmtId="164" fontId="9" fillId="11" borderId="11" xfId="0" applyNumberFormat="1" applyFont="1" applyFill="1" applyBorder="1" applyAlignment="1">
      <alignment horizontal="center"/>
    </xf>
    <xf numFmtId="164" fontId="9" fillId="10" borderId="11" xfId="0" applyNumberFormat="1" applyFont="1" applyFill="1" applyBorder="1" applyAlignment="1">
      <alignment horizontal="center"/>
    </xf>
    <xf numFmtId="164" fontId="9" fillId="9" borderId="11" xfId="0" applyNumberFormat="1" applyFont="1" applyFill="1" applyBorder="1" applyAlignment="1">
      <alignment horizontal="center"/>
    </xf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10" borderId="8" xfId="0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3" borderId="12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center" vertical="center"/>
    </xf>
    <xf numFmtId="2" fontId="0" fillId="11" borderId="8" xfId="0" applyNumberFormat="1" applyFill="1" applyBorder="1" applyAlignment="1">
      <alignment horizontal="center" vertical="center"/>
    </xf>
    <xf numFmtId="2" fontId="0" fillId="11" borderId="7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15" fillId="19" borderId="7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right" vertical="center"/>
    </xf>
    <xf numFmtId="0" fontId="2" fillId="7" borderId="21" xfId="0" applyFont="1" applyFill="1" applyBorder="1" applyAlignment="1">
      <alignment horizontal="right" vertical="center"/>
    </xf>
    <xf numFmtId="2" fontId="0" fillId="10" borderId="1" xfId="0" applyNumberFormat="1" applyFill="1" applyBorder="1" applyAlignment="1">
      <alignment horizontal="center" vertical="center"/>
    </xf>
    <xf numFmtId="2" fontId="0" fillId="10" borderId="8" xfId="0" applyNumberFormat="1" applyFill="1" applyBorder="1" applyAlignment="1">
      <alignment horizontal="center" vertical="center"/>
    </xf>
    <xf numFmtId="2" fontId="0" fillId="10" borderId="10" xfId="0" applyNumberFormat="1" applyFill="1" applyBorder="1" applyAlignment="1">
      <alignment horizontal="center" vertical="center"/>
    </xf>
    <xf numFmtId="2" fontId="0" fillId="10" borderId="7" xfId="0" applyNumberForma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8" xfId="0" applyNumberFormat="1" applyFill="1" applyBorder="1" applyAlignment="1">
      <alignment horizontal="center" vertical="center"/>
    </xf>
    <xf numFmtId="2" fontId="0" fillId="9" borderId="10" xfId="0" applyNumberFormat="1" applyFill="1" applyBorder="1" applyAlignment="1">
      <alignment horizontal="center" vertical="center"/>
    </xf>
    <xf numFmtId="2" fontId="0" fillId="9" borderId="7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5" fillId="19" borderId="1" xfId="0" applyFont="1" applyFill="1" applyBorder="1" applyAlignment="1">
      <alignment horizontal="center"/>
    </xf>
    <xf numFmtId="2" fontId="0" fillId="11" borderId="2" xfId="0" applyNumberFormat="1" applyFill="1" applyBorder="1" applyAlignment="1">
      <alignment horizontal="center" vertical="center"/>
    </xf>
    <xf numFmtId="2" fontId="0" fillId="11" borderId="3" xfId="0" applyNumberFormat="1" applyFill="1" applyBorder="1" applyAlignment="1">
      <alignment horizontal="center" vertical="center"/>
    </xf>
    <xf numFmtId="2" fontId="0" fillId="13" borderId="4" xfId="0" applyNumberFormat="1" applyFill="1" applyBorder="1" applyAlignment="1">
      <alignment horizontal="center"/>
    </xf>
    <xf numFmtId="2" fontId="0" fillId="13" borderId="20" xfId="0" applyNumberForma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2" fontId="0" fillId="10" borderId="2" xfId="0" applyNumberFormat="1" applyFill="1" applyBorder="1" applyAlignment="1">
      <alignment horizontal="center"/>
    </xf>
    <xf numFmtId="2" fontId="0" fillId="10" borderId="3" xfId="0" applyNumberFormat="1" applyFill="1" applyBorder="1" applyAlignment="1">
      <alignment horizontal="center"/>
    </xf>
    <xf numFmtId="2" fontId="0" fillId="9" borderId="2" xfId="0" applyNumberFormat="1" applyFill="1" applyBorder="1" applyAlignment="1">
      <alignment horizontal="center"/>
    </xf>
    <xf numFmtId="2" fontId="0" fillId="9" borderId="3" xfId="0" applyNumberForma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/>
    </xf>
    <xf numFmtId="0" fontId="0" fillId="17" borderId="12" xfId="0" applyFill="1" applyBorder="1" applyAlignment="1">
      <alignment horizontal="center" vertical="center"/>
    </xf>
    <xf numFmtId="0" fontId="0" fillId="17" borderId="11" xfId="0" applyFill="1" applyBorder="1" applyAlignment="1">
      <alignment horizontal="center" vertical="center"/>
    </xf>
    <xf numFmtId="1" fontId="0" fillId="17" borderId="12" xfId="0" applyNumberFormat="1" applyFill="1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right"/>
    </xf>
    <xf numFmtId="0" fontId="2" fillId="6" borderId="27" xfId="0" applyFont="1" applyFill="1" applyBorder="1" applyAlignment="1">
      <alignment horizontal="right"/>
    </xf>
    <xf numFmtId="0" fontId="2" fillId="6" borderId="28" xfId="0" applyFont="1" applyFill="1" applyBorder="1" applyAlignment="1">
      <alignment horizontal="right"/>
    </xf>
    <xf numFmtId="0" fontId="0" fillId="17" borderId="18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17" borderId="29" xfId="0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C5ED"/>
      <color rgb="FFD55E00"/>
      <color rgb="FFE69F00"/>
      <color rgb="FF0072B2"/>
      <color rgb="FF009E73"/>
      <color rgb="FFCC79A7"/>
      <color rgb="FFF0E442"/>
      <color rgb="FF56B4DF"/>
      <color rgb="FFFFD1E8"/>
      <color rgb="FFFFE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'Carbon Intensity'!$B$41</c:f>
              <c:strCache>
                <c:ptCount val="1"/>
                <c:pt idx="0">
                  <c:v>Process Emissions</c:v>
                </c:pt>
              </c:strCache>
            </c:strRef>
          </c:tx>
          <c:spPr>
            <a:solidFill>
              <a:srgbClr val="0072B2"/>
            </a:solidFill>
            <a:ln>
              <a:noFill/>
            </a:ln>
            <a:effectLst/>
          </c:spPr>
          <c:invertIfNegative val="0"/>
          <c:cat>
            <c:strRef>
              <c:f>'Carbon Intensity'!$C$40:$K$40</c:f>
              <c:strCache>
                <c:ptCount val="9"/>
                <c:pt idx="0">
                  <c:v>UK Clinker</c:v>
                </c:pt>
                <c:pt idx="1">
                  <c:v>Global Clinker</c:v>
                </c:pt>
                <c:pt idx="2">
                  <c:v>Best Practice Clinker</c:v>
                </c:pt>
                <c:pt idx="3">
                  <c:v>UK Cement</c:v>
                </c:pt>
                <c:pt idx="4">
                  <c:v>Global Cement</c:v>
                </c:pt>
                <c:pt idx="5">
                  <c:v>Best Practice Cement </c:v>
                </c:pt>
                <c:pt idx="6">
                  <c:v>UK Concrete</c:v>
                </c:pt>
                <c:pt idx="7">
                  <c:v>Global Concrete</c:v>
                </c:pt>
                <c:pt idx="8">
                  <c:v>Best Practice Concrete</c:v>
                </c:pt>
              </c:strCache>
            </c:strRef>
          </c:cat>
          <c:val>
            <c:numRef>
              <c:f>'Carbon Intensity'!$C$41:$K$41</c:f>
              <c:numCache>
                <c:formatCode>0.00</c:formatCode>
                <c:ptCount val="9"/>
                <c:pt idx="0">
                  <c:v>0.49</c:v>
                </c:pt>
                <c:pt idx="1">
                  <c:v>0.49</c:v>
                </c:pt>
                <c:pt idx="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F-4FC0-A50C-BD825A495DF5}"/>
            </c:ext>
          </c:extLst>
        </c:ser>
        <c:ser>
          <c:idx val="1"/>
          <c:order val="1"/>
          <c:tx>
            <c:strRef>
              <c:f>'Carbon Intensity'!$B$42</c:f>
              <c:strCache>
                <c:ptCount val="1"/>
                <c:pt idx="0">
                  <c:v>Energy Emissions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strRef>
              <c:f>'Carbon Intensity'!$C$40:$K$40</c:f>
              <c:strCache>
                <c:ptCount val="9"/>
                <c:pt idx="0">
                  <c:v>UK Clinker</c:v>
                </c:pt>
                <c:pt idx="1">
                  <c:v>Global Clinker</c:v>
                </c:pt>
                <c:pt idx="2">
                  <c:v>Best Practice Clinker</c:v>
                </c:pt>
                <c:pt idx="3">
                  <c:v>UK Cement</c:v>
                </c:pt>
                <c:pt idx="4">
                  <c:v>Global Cement</c:v>
                </c:pt>
                <c:pt idx="5">
                  <c:v>Best Practice Cement </c:v>
                </c:pt>
                <c:pt idx="6">
                  <c:v>UK Concrete</c:v>
                </c:pt>
                <c:pt idx="7">
                  <c:v>Global Concrete</c:v>
                </c:pt>
                <c:pt idx="8">
                  <c:v>Best Practice Concrete</c:v>
                </c:pt>
              </c:strCache>
            </c:strRef>
          </c:cat>
          <c:val>
            <c:numRef>
              <c:f>'Carbon Intensity'!$C$42:$K$42</c:f>
              <c:numCache>
                <c:formatCode>0.00</c:formatCode>
                <c:ptCount val="9"/>
                <c:pt idx="0">
                  <c:v>0.25900000000000006</c:v>
                </c:pt>
                <c:pt idx="1">
                  <c:v>0.31239999999999996</c:v>
                </c:pt>
                <c:pt idx="2">
                  <c:v>0.17400000000000002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F-4FC0-A50C-BD825A495DF5}"/>
            </c:ext>
          </c:extLst>
        </c:ser>
        <c:ser>
          <c:idx val="2"/>
          <c:order val="2"/>
          <c:tx>
            <c:strRef>
              <c:f>'Carbon Intensity'!$B$43</c:f>
              <c:strCache>
                <c:ptCount val="1"/>
                <c:pt idx="0">
                  <c:v>Clinker Emissions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strRef>
              <c:f>'Carbon Intensity'!$C$40:$K$40</c:f>
              <c:strCache>
                <c:ptCount val="9"/>
                <c:pt idx="0">
                  <c:v>UK Clinker</c:v>
                </c:pt>
                <c:pt idx="1">
                  <c:v>Global Clinker</c:v>
                </c:pt>
                <c:pt idx="2">
                  <c:v>Best Practice Clinker</c:v>
                </c:pt>
                <c:pt idx="3">
                  <c:v>UK Cement</c:v>
                </c:pt>
                <c:pt idx="4">
                  <c:v>Global Cement</c:v>
                </c:pt>
                <c:pt idx="5">
                  <c:v>Best Practice Cement </c:v>
                </c:pt>
                <c:pt idx="6">
                  <c:v>UK Concrete</c:v>
                </c:pt>
                <c:pt idx="7">
                  <c:v>Global Concrete</c:v>
                </c:pt>
                <c:pt idx="8">
                  <c:v>Best Practice Concrete</c:v>
                </c:pt>
              </c:strCache>
            </c:strRef>
          </c:cat>
          <c:val>
            <c:numRef>
              <c:f>'Carbon Intensity'!$C$43:$K$43</c:f>
              <c:numCache>
                <c:formatCode>0.00</c:formatCode>
                <c:ptCount val="9"/>
                <c:pt idx="3">
                  <c:v>0.5243000000000001</c:v>
                </c:pt>
                <c:pt idx="4">
                  <c:v>0.56970399999999999</c:v>
                </c:pt>
                <c:pt idx="5">
                  <c:v>0.33200000000000002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F-4FC0-A50C-BD825A495DF5}"/>
            </c:ext>
          </c:extLst>
        </c:ser>
        <c:ser>
          <c:idx val="3"/>
          <c:order val="3"/>
          <c:tx>
            <c:strRef>
              <c:f>'Carbon Intensity'!$B$44</c:f>
              <c:strCache>
                <c:ptCount val="1"/>
                <c:pt idx="0">
                  <c:v>SCM Emissions</c:v>
                </c:pt>
              </c:strCache>
            </c:strRef>
          </c:tx>
          <c:spPr>
            <a:solidFill>
              <a:srgbClr val="D55E00"/>
            </a:solidFill>
            <a:ln>
              <a:noFill/>
            </a:ln>
            <a:effectLst/>
          </c:spPr>
          <c:invertIfNegative val="0"/>
          <c:cat>
            <c:strRef>
              <c:f>'Carbon Intensity'!$C$40:$K$40</c:f>
              <c:strCache>
                <c:ptCount val="9"/>
                <c:pt idx="0">
                  <c:v>UK Clinker</c:v>
                </c:pt>
                <c:pt idx="1">
                  <c:v>Global Clinker</c:v>
                </c:pt>
                <c:pt idx="2">
                  <c:v>Best Practice Clinker</c:v>
                </c:pt>
                <c:pt idx="3">
                  <c:v>UK Cement</c:v>
                </c:pt>
                <c:pt idx="4">
                  <c:v>Global Cement</c:v>
                </c:pt>
                <c:pt idx="5">
                  <c:v>Best Practice Cement </c:v>
                </c:pt>
                <c:pt idx="6">
                  <c:v>UK Concrete</c:v>
                </c:pt>
                <c:pt idx="7">
                  <c:v>Global Concrete</c:v>
                </c:pt>
                <c:pt idx="8">
                  <c:v>Best Practice Concrete</c:v>
                </c:pt>
              </c:strCache>
            </c:strRef>
          </c:cat>
          <c:val>
            <c:numRef>
              <c:f>'Carbon Intensity'!$C$44:$K$44</c:f>
              <c:numCache>
                <c:formatCode>0.00</c:formatCode>
                <c:ptCount val="9"/>
                <c:pt idx="3">
                  <c:v>3.935241295051925E-2</c:v>
                </c:pt>
                <c:pt idx="4">
                  <c:v>3.636408674404399E-2</c:v>
                </c:pt>
                <c:pt idx="5">
                  <c:v>3.9749999999999994E-2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8F-4FC0-A50C-BD825A495DF5}"/>
            </c:ext>
          </c:extLst>
        </c:ser>
        <c:ser>
          <c:idx val="4"/>
          <c:order val="4"/>
          <c:tx>
            <c:strRef>
              <c:f>'Carbon Intensity'!$B$45</c:f>
              <c:strCache>
                <c:ptCount val="1"/>
                <c:pt idx="0">
                  <c:v>Electricity Emissions</c:v>
                </c:pt>
              </c:strCache>
            </c:strRef>
          </c:tx>
          <c:spPr>
            <a:solidFill>
              <a:srgbClr val="56B4DF"/>
            </a:solidFill>
            <a:ln>
              <a:noFill/>
            </a:ln>
            <a:effectLst/>
          </c:spPr>
          <c:invertIfNegative val="0"/>
          <c:cat>
            <c:strRef>
              <c:f>'Carbon Intensity'!$C$40:$K$40</c:f>
              <c:strCache>
                <c:ptCount val="9"/>
                <c:pt idx="0">
                  <c:v>UK Clinker</c:v>
                </c:pt>
                <c:pt idx="1">
                  <c:v>Global Clinker</c:v>
                </c:pt>
                <c:pt idx="2">
                  <c:v>Best Practice Clinker</c:v>
                </c:pt>
                <c:pt idx="3">
                  <c:v>UK Cement</c:v>
                </c:pt>
                <c:pt idx="4">
                  <c:v>Global Cement</c:v>
                </c:pt>
                <c:pt idx="5">
                  <c:v>Best Practice Cement </c:v>
                </c:pt>
                <c:pt idx="6">
                  <c:v>UK Concrete</c:v>
                </c:pt>
                <c:pt idx="7">
                  <c:v>Global Concrete</c:v>
                </c:pt>
                <c:pt idx="8">
                  <c:v>Best Practice Concrete</c:v>
                </c:pt>
              </c:strCache>
            </c:strRef>
          </c:cat>
          <c:val>
            <c:numRef>
              <c:f>'Carbon Intensity'!$C$45:$K$45</c:f>
              <c:numCache>
                <c:formatCode>0.00</c:formatCode>
                <c:ptCount val="9"/>
                <c:pt idx="3">
                  <c:v>2.2000000000000002E-2</c:v>
                </c:pt>
                <c:pt idx="4">
                  <c:v>4.3800000000000006E-2</c:v>
                </c:pt>
                <c:pt idx="5">
                  <c:v>3.9770000000000005E-3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8F-4FC0-A50C-BD825A495DF5}"/>
            </c:ext>
          </c:extLst>
        </c:ser>
        <c:ser>
          <c:idx val="5"/>
          <c:order val="5"/>
          <c:tx>
            <c:strRef>
              <c:f>'Carbon Intensity'!$B$46</c:f>
              <c:strCache>
                <c:ptCount val="1"/>
                <c:pt idx="0">
                  <c:v>Cement Emissions</c:v>
                </c:pt>
              </c:strCache>
            </c:strRef>
          </c:tx>
          <c:spPr>
            <a:solidFill>
              <a:srgbClr val="CC79A7"/>
            </a:solidFill>
            <a:ln>
              <a:noFill/>
            </a:ln>
            <a:effectLst/>
          </c:spPr>
          <c:invertIfNegative val="0"/>
          <c:cat>
            <c:strRef>
              <c:f>'Carbon Intensity'!$C$40:$K$40</c:f>
              <c:strCache>
                <c:ptCount val="9"/>
                <c:pt idx="0">
                  <c:v>UK Clinker</c:v>
                </c:pt>
                <c:pt idx="1">
                  <c:v>Global Clinker</c:v>
                </c:pt>
                <c:pt idx="2">
                  <c:v>Best Practice Clinker</c:v>
                </c:pt>
                <c:pt idx="3">
                  <c:v>UK Cement</c:v>
                </c:pt>
                <c:pt idx="4">
                  <c:v>Global Cement</c:v>
                </c:pt>
                <c:pt idx="5">
                  <c:v>Best Practice Cement </c:v>
                </c:pt>
                <c:pt idx="6">
                  <c:v>UK Concrete</c:v>
                </c:pt>
                <c:pt idx="7">
                  <c:v>Global Concrete</c:v>
                </c:pt>
                <c:pt idx="8">
                  <c:v>Best Practice Concrete</c:v>
                </c:pt>
              </c:strCache>
            </c:strRef>
          </c:cat>
          <c:val>
            <c:numRef>
              <c:f>'Carbon Intensity'!$C$46:$K$46</c:f>
              <c:numCache>
                <c:formatCode>0.00</c:formatCode>
                <c:ptCount val="9"/>
                <c:pt idx="6">
                  <c:v>8.1991337813072718E-2</c:v>
                </c:pt>
                <c:pt idx="7">
                  <c:v>9.314775909997966E-2</c:v>
                </c:pt>
                <c:pt idx="8">
                  <c:v>4.5462967E-2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8F-4FC0-A50C-BD825A495DF5}"/>
            </c:ext>
          </c:extLst>
        </c:ser>
        <c:ser>
          <c:idx val="6"/>
          <c:order val="6"/>
          <c:tx>
            <c:strRef>
              <c:f>'Carbon Intensity'!$B$47</c:f>
              <c:strCache>
                <c:ptCount val="1"/>
                <c:pt idx="0">
                  <c:v>Non-Binder Component Emissions</c:v>
                </c:pt>
              </c:strCache>
            </c:strRef>
          </c:tx>
          <c:spPr>
            <a:solidFill>
              <a:srgbClr val="F0E442"/>
            </a:solidFill>
            <a:ln>
              <a:noFill/>
            </a:ln>
            <a:effectLst/>
          </c:spPr>
          <c:invertIfNegative val="0"/>
          <c:cat>
            <c:strRef>
              <c:f>'Carbon Intensity'!$C$40:$K$40</c:f>
              <c:strCache>
                <c:ptCount val="9"/>
                <c:pt idx="0">
                  <c:v>UK Clinker</c:v>
                </c:pt>
                <c:pt idx="1">
                  <c:v>Global Clinker</c:v>
                </c:pt>
                <c:pt idx="2">
                  <c:v>Best Practice Clinker</c:v>
                </c:pt>
                <c:pt idx="3">
                  <c:v>UK Cement</c:v>
                </c:pt>
                <c:pt idx="4">
                  <c:v>Global Cement</c:v>
                </c:pt>
                <c:pt idx="5">
                  <c:v>Best Practice Cement </c:v>
                </c:pt>
                <c:pt idx="6">
                  <c:v>UK Concrete</c:v>
                </c:pt>
                <c:pt idx="7">
                  <c:v>Global Concrete</c:v>
                </c:pt>
                <c:pt idx="8">
                  <c:v>Best Practice Concrete</c:v>
                </c:pt>
              </c:strCache>
            </c:strRef>
          </c:cat>
          <c:val>
            <c:numRef>
              <c:f>'Carbon Intensity'!$C$47:$K$47</c:f>
              <c:numCache>
                <c:formatCode>0.00</c:formatCode>
                <c:ptCount val="9"/>
                <c:pt idx="6">
                  <c:v>6.0200000000000002E-3</c:v>
                </c:pt>
                <c:pt idx="7">
                  <c:v>5.3668381944444454E-3</c:v>
                </c:pt>
                <c:pt idx="8">
                  <c:v>5.5067518750000011E-3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8F-4FC0-A50C-BD825A495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324672"/>
        <c:axId val="431324016"/>
      </c:barChart>
      <c:catAx>
        <c:axId val="43132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324016"/>
        <c:crosses val="autoZero"/>
        <c:auto val="1"/>
        <c:lblAlgn val="ctr"/>
        <c:lblOffset val="100"/>
        <c:noMultiLvlLbl val="0"/>
      </c:catAx>
      <c:valAx>
        <c:axId val="43132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32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4"/>
          <c:order val="0"/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CB04-42E1-BA72-B500B8C677E7}"/>
            </c:ext>
          </c:extLst>
        </c:ser>
        <c:ser>
          <c:idx val="25"/>
          <c:order val="1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CB04-42E1-BA72-B500B8C677E7}"/>
            </c:ext>
          </c:extLst>
        </c:ser>
        <c:ser>
          <c:idx val="26"/>
          <c:order val="2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CB04-42E1-BA72-B500B8C677E7}"/>
            </c:ext>
          </c:extLst>
        </c:ser>
        <c:ser>
          <c:idx val="27"/>
          <c:order val="3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CB04-42E1-BA72-B500B8C677E7}"/>
            </c:ext>
          </c:extLst>
        </c:ser>
        <c:ser>
          <c:idx val="28"/>
          <c:order val="4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CB04-42E1-BA72-B500B8C677E7}"/>
            </c:ext>
          </c:extLst>
        </c:ser>
        <c:ser>
          <c:idx val="29"/>
          <c:order val="5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CB04-42E1-BA72-B500B8C677E7}"/>
            </c:ext>
          </c:extLst>
        </c:ser>
        <c:ser>
          <c:idx val="30"/>
          <c:order val="6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CB04-42E1-BA72-B500B8C677E7}"/>
            </c:ext>
          </c:extLst>
        </c:ser>
        <c:ser>
          <c:idx val="31"/>
          <c:order val="7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B04-42E1-BA72-B500B8C677E7}"/>
            </c:ext>
          </c:extLst>
        </c:ser>
        <c:ser>
          <c:idx val="32"/>
          <c:order val="8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CB04-42E1-BA72-B500B8C677E7}"/>
            </c:ext>
          </c:extLst>
        </c:ser>
        <c:ser>
          <c:idx val="33"/>
          <c:order val="9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CB04-42E1-BA72-B500B8C677E7}"/>
            </c:ext>
          </c:extLst>
        </c:ser>
        <c:ser>
          <c:idx val="34"/>
          <c:order val="10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B04-42E1-BA72-B500B8C677E7}"/>
            </c:ext>
          </c:extLst>
        </c:ser>
        <c:ser>
          <c:idx val="35"/>
          <c:order val="1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CB04-42E1-BA72-B500B8C677E7}"/>
            </c:ext>
          </c:extLst>
        </c:ser>
        <c:ser>
          <c:idx val="36"/>
          <c:order val="12"/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CB04-42E1-BA72-B500B8C677E7}"/>
            </c:ext>
          </c:extLst>
        </c:ser>
        <c:ser>
          <c:idx val="37"/>
          <c:order val="13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CB04-42E1-BA72-B500B8C677E7}"/>
            </c:ext>
          </c:extLst>
        </c:ser>
        <c:ser>
          <c:idx val="38"/>
          <c:order val="14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CB04-42E1-BA72-B500B8C677E7}"/>
            </c:ext>
          </c:extLst>
        </c:ser>
        <c:ser>
          <c:idx val="39"/>
          <c:order val="15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CB04-42E1-BA72-B500B8C677E7}"/>
            </c:ext>
          </c:extLst>
        </c:ser>
        <c:ser>
          <c:idx val="40"/>
          <c:order val="16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CB04-42E1-BA72-B500B8C677E7}"/>
            </c:ext>
          </c:extLst>
        </c:ser>
        <c:ser>
          <c:idx val="41"/>
          <c:order val="17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CB04-42E1-BA72-B500B8C677E7}"/>
            </c:ext>
          </c:extLst>
        </c:ser>
        <c:ser>
          <c:idx val="42"/>
          <c:order val="18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CB04-42E1-BA72-B500B8C677E7}"/>
            </c:ext>
          </c:extLst>
        </c:ser>
        <c:ser>
          <c:idx val="43"/>
          <c:order val="19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CB04-42E1-BA72-B500B8C677E7}"/>
            </c:ext>
          </c:extLst>
        </c:ser>
        <c:ser>
          <c:idx val="44"/>
          <c:order val="2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CB04-42E1-BA72-B500B8C677E7}"/>
            </c:ext>
          </c:extLst>
        </c:ser>
        <c:ser>
          <c:idx val="45"/>
          <c:order val="2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CB04-42E1-BA72-B500B8C677E7}"/>
            </c:ext>
          </c:extLst>
        </c:ser>
        <c:ser>
          <c:idx val="46"/>
          <c:order val="22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CB04-42E1-BA72-B500B8C677E7}"/>
            </c:ext>
          </c:extLst>
        </c:ser>
        <c:ser>
          <c:idx val="47"/>
          <c:order val="23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CB04-42E1-BA72-B500B8C677E7}"/>
            </c:ext>
          </c:extLst>
        </c:ser>
        <c:ser>
          <c:idx val="12"/>
          <c:order val="24"/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4-42E1-BA72-B500B8C677E7}"/>
            </c:ext>
          </c:extLst>
        </c:ser>
        <c:ser>
          <c:idx val="13"/>
          <c:order val="25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04-42E1-BA72-B500B8C677E7}"/>
            </c:ext>
          </c:extLst>
        </c:ser>
        <c:ser>
          <c:idx val="14"/>
          <c:order val="26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04-42E1-BA72-B500B8C677E7}"/>
            </c:ext>
          </c:extLst>
        </c:ser>
        <c:ser>
          <c:idx val="15"/>
          <c:order val="27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B04-42E1-BA72-B500B8C677E7}"/>
            </c:ext>
          </c:extLst>
        </c:ser>
        <c:ser>
          <c:idx val="16"/>
          <c:order val="28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B04-42E1-BA72-B500B8C677E7}"/>
            </c:ext>
          </c:extLst>
        </c:ser>
        <c:ser>
          <c:idx val="17"/>
          <c:order val="29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B04-42E1-BA72-B500B8C677E7}"/>
            </c:ext>
          </c:extLst>
        </c:ser>
        <c:ser>
          <c:idx val="18"/>
          <c:order val="30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B04-42E1-BA72-B500B8C677E7}"/>
            </c:ext>
          </c:extLst>
        </c:ser>
        <c:ser>
          <c:idx val="19"/>
          <c:order val="3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B04-42E1-BA72-B500B8C677E7}"/>
            </c:ext>
          </c:extLst>
        </c:ser>
        <c:ser>
          <c:idx val="20"/>
          <c:order val="32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B04-42E1-BA72-B500B8C677E7}"/>
            </c:ext>
          </c:extLst>
        </c:ser>
        <c:ser>
          <c:idx val="21"/>
          <c:order val="33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B04-42E1-BA72-B500B8C677E7}"/>
            </c:ext>
          </c:extLst>
        </c:ser>
        <c:ser>
          <c:idx val="22"/>
          <c:order val="34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B04-42E1-BA72-B500B8C677E7}"/>
            </c:ext>
          </c:extLst>
        </c:ser>
        <c:ser>
          <c:idx val="23"/>
          <c:order val="35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B04-42E1-BA72-B500B8C677E7}"/>
            </c:ext>
          </c:extLst>
        </c:ser>
        <c:ser>
          <c:idx val="0"/>
          <c:order val="36"/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B04-42E1-BA72-B500B8C677E7}"/>
            </c:ext>
          </c:extLst>
        </c:ser>
        <c:ser>
          <c:idx val="5"/>
          <c:order val="37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B04-42E1-BA72-B500B8C677E7}"/>
            </c:ext>
          </c:extLst>
        </c:ser>
        <c:ser>
          <c:idx val="6"/>
          <c:order val="38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B04-42E1-BA72-B500B8C677E7}"/>
            </c:ext>
          </c:extLst>
        </c:ser>
        <c:ser>
          <c:idx val="7"/>
          <c:order val="39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B04-42E1-BA72-B500B8C677E7}"/>
            </c:ext>
          </c:extLst>
        </c:ser>
        <c:ser>
          <c:idx val="8"/>
          <c:order val="4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CB04-42E1-BA72-B500B8C677E7}"/>
            </c:ext>
          </c:extLst>
        </c:ser>
        <c:ser>
          <c:idx val="9"/>
          <c:order val="4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CB04-42E1-BA72-B500B8C677E7}"/>
            </c:ext>
          </c:extLst>
        </c:ser>
        <c:ser>
          <c:idx val="10"/>
          <c:order val="42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CB04-42E1-BA72-B500B8C677E7}"/>
            </c:ext>
          </c:extLst>
        </c:ser>
        <c:ser>
          <c:idx val="11"/>
          <c:order val="43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CB04-42E1-BA72-B500B8C677E7}"/>
            </c:ext>
          </c:extLst>
        </c:ser>
        <c:ser>
          <c:idx val="1"/>
          <c:order val="44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CB04-42E1-BA72-B500B8C677E7}"/>
            </c:ext>
          </c:extLst>
        </c:ser>
        <c:ser>
          <c:idx val="2"/>
          <c:order val="45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CB04-42E1-BA72-B500B8C677E7}"/>
            </c:ext>
          </c:extLst>
        </c:ser>
        <c:ser>
          <c:idx val="3"/>
          <c:order val="46"/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D55E00"/>
              </a:solidFill>
              <a:ln w="9525">
                <a:noFill/>
              </a:ln>
              <a:effectLst/>
            </c:spPr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CB04-42E1-BA72-B500B8C677E7}"/>
            </c:ext>
          </c:extLst>
        </c:ser>
        <c:ser>
          <c:idx val="4"/>
          <c:order val="47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CB04-42E1-BA72-B500B8C67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/>
              </a:solidFill>
              <a:round/>
              <a:headEnd type="oval" w="sm" len="sm"/>
              <a:tailEnd type="oval" w="sm" len="sm"/>
            </a:ln>
            <a:effectLst/>
          </c:spPr>
        </c:hiLowLines>
        <c:smooth val="0"/>
        <c:axId val="566691208"/>
        <c:axId val="566696456"/>
      </c:lineChart>
      <c:catAx>
        <c:axId val="56669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6696456"/>
        <c:crosses val="autoZero"/>
        <c:auto val="1"/>
        <c:lblAlgn val="ctr"/>
        <c:lblOffset val="100"/>
        <c:noMultiLvlLbl val="0"/>
      </c:catAx>
      <c:valAx>
        <c:axId val="566696456"/>
        <c:scaling>
          <c:orientation val="minMax"/>
          <c:max val="2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solidFill>
                      <a:schemeClr val="bg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Decarbonisation Potential (MtCO</a:t>
                </a:r>
                <a:r>
                  <a:rPr lang="en-GB" sz="1000" b="0" i="0" baseline="-25000">
                    <a:solidFill>
                      <a:schemeClr val="bg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2eq</a:t>
                </a:r>
                <a:r>
                  <a:rPr lang="en-GB" sz="1000" b="0" i="0" baseline="0">
                    <a:solidFill>
                      <a:schemeClr val="bg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/yr)</a:t>
                </a:r>
                <a:endParaRPr lang="en-GB" sz="100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386108427982043E-3"/>
              <c:y val="0.174089874480978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6691208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2"/>
          <c:order val="0"/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4-4D05-83CD-DB0917A2FA34}"/>
            </c:ext>
          </c:extLst>
        </c:ser>
        <c:ser>
          <c:idx val="13"/>
          <c:order val="1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4-4D05-83CD-DB0917A2FA34}"/>
            </c:ext>
          </c:extLst>
        </c:ser>
        <c:ser>
          <c:idx val="14"/>
          <c:order val="2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4-4D05-83CD-DB0917A2FA34}"/>
            </c:ext>
          </c:extLst>
        </c:ser>
        <c:ser>
          <c:idx val="15"/>
          <c:order val="3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4-4D05-83CD-DB0917A2FA34}"/>
            </c:ext>
          </c:extLst>
        </c:ser>
        <c:ser>
          <c:idx val="16"/>
          <c:order val="4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24-4D05-83CD-DB0917A2FA34}"/>
            </c:ext>
          </c:extLst>
        </c:ser>
        <c:ser>
          <c:idx val="17"/>
          <c:order val="5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24-4D05-83CD-DB0917A2FA34}"/>
            </c:ext>
          </c:extLst>
        </c:ser>
        <c:ser>
          <c:idx val="18"/>
          <c:order val="6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24-4D05-83CD-DB0917A2FA34}"/>
            </c:ext>
          </c:extLst>
        </c:ser>
        <c:ser>
          <c:idx val="19"/>
          <c:order val="7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24-4D05-83CD-DB0917A2FA34}"/>
            </c:ext>
          </c:extLst>
        </c:ser>
        <c:ser>
          <c:idx val="20"/>
          <c:order val="8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24-4D05-83CD-DB0917A2FA34}"/>
            </c:ext>
          </c:extLst>
        </c:ser>
        <c:ser>
          <c:idx val="21"/>
          <c:order val="9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24-4D05-83CD-DB0917A2FA34}"/>
            </c:ext>
          </c:extLst>
        </c:ser>
        <c:ser>
          <c:idx val="22"/>
          <c:order val="10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24-4D05-83CD-DB0917A2FA34}"/>
            </c:ext>
          </c:extLst>
        </c:ser>
        <c:ser>
          <c:idx val="23"/>
          <c:order val="1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724-4D05-83CD-DB0917A2FA34}"/>
            </c:ext>
          </c:extLst>
        </c:ser>
        <c:ser>
          <c:idx val="0"/>
          <c:order val="12"/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24-4D05-83CD-DB0917A2FA34}"/>
            </c:ext>
          </c:extLst>
        </c:ser>
        <c:ser>
          <c:idx val="5"/>
          <c:order val="13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24-4D05-83CD-DB0917A2FA34}"/>
            </c:ext>
          </c:extLst>
        </c:ser>
        <c:ser>
          <c:idx val="6"/>
          <c:order val="14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24-4D05-83CD-DB0917A2FA34}"/>
            </c:ext>
          </c:extLst>
        </c:ser>
        <c:ser>
          <c:idx val="7"/>
          <c:order val="15"/>
          <c:spPr>
            <a:ln>
              <a:noFill/>
            </a:ln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724-4D05-83CD-DB0917A2FA34}"/>
            </c:ext>
          </c:extLst>
        </c:ser>
        <c:ser>
          <c:idx val="8"/>
          <c:order val="16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724-4D05-83CD-DB0917A2FA34}"/>
            </c:ext>
          </c:extLst>
        </c:ser>
        <c:ser>
          <c:idx val="9"/>
          <c:order val="17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724-4D05-83CD-DB0917A2FA34}"/>
            </c:ext>
          </c:extLst>
        </c:ser>
        <c:ser>
          <c:idx val="10"/>
          <c:order val="18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Potential'!$G$34:$G$40</c:f>
              <c:numCache>
                <c:formatCode>0.00</c:formatCode>
                <c:ptCount val="7"/>
                <c:pt idx="0">
                  <c:v>1.0660033895000003</c:v>
                </c:pt>
                <c:pt idx="1">
                  <c:v>0.27622226193333338</c:v>
                </c:pt>
                <c:pt idx="2">
                  <c:v>0.43860446249725127</c:v>
                </c:pt>
                <c:pt idx="3">
                  <c:v>0.79217336593891274</c:v>
                </c:pt>
                <c:pt idx="4">
                  <c:v>0.46153145549175334</c:v>
                </c:pt>
                <c:pt idx="5">
                  <c:v>1.276903693527184</c:v>
                </c:pt>
                <c:pt idx="6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24-4D05-83CD-DB0917A2FA34}"/>
            </c:ext>
          </c:extLst>
        </c:ser>
        <c:ser>
          <c:idx val="11"/>
          <c:order val="19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Potential'!$H$34:$H$40</c:f>
              <c:numCache>
                <c:formatCode>0.00</c:formatCode>
                <c:ptCount val="7"/>
                <c:pt idx="0">
                  <c:v>1.4302770844444448</c:v>
                </c:pt>
                <c:pt idx="1">
                  <c:v>0.33075157577777781</c:v>
                </c:pt>
                <c:pt idx="2">
                  <c:v>0.53706668877214436</c:v>
                </c:pt>
                <c:pt idx="3">
                  <c:v>1.3473778332353794</c:v>
                </c:pt>
                <c:pt idx="4">
                  <c:v>0.76921909248625564</c:v>
                </c:pt>
                <c:pt idx="5">
                  <c:v>1.869202394741601</c:v>
                </c:pt>
                <c:pt idx="6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724-4D05-83CD-DB0917A2FA34}"/>
            </c:ext>
          </c:extLst>
        </c:ser>
        <c:ser>
          <c:idx val="1"/>
          <c:order val="2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Potential'!$E$34:$E$40</c:f>
              <c:numCache>
                <c:formatCode>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724-4D05-83CD-DB0917A2FA34}"/>
            </c:ext>
          </c:extLst>
        </c:ser>
        <c:ser>
          <c:idx val="2"/>
          <c:order val="2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Potential'!$F$34:$F$40</c:f>
              <c:numCache>
                <c:formatCode>0.00</c:formatCode>
                <c:ptCount val="7"/>
                <c:pt idx="0">
                  <c:v>0.90286240955555574</c:v>
                </c:pt>
                <c:pt idx="1">
                  <c:v>0.29499464866666675</c:v>
                </c:pt>
                <c:pt idx="2">
                  <c:v>0.3768889044015048</c:v>
                </c:pt>
                <c:pt idx="3">
                  <c:v>0.17902222959071476</c:v>
                </c:pt>
                <c:pt idx="4">
                  <c:v>9.2306291098350673E-2</c:v>
                </c:pt>
                <c:pt idx="5">
                  <c:v>0.68460499231276739</c:v>
                </c:pt>
                <c:pt idx="6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724-4D05-83CD-DB0917A2FA34}"/>
            </c:ext>
          </c:extLst>
        </c:ser>
        <c:ser>
          <c:idx val="3"/>
          <c:order val="22"/>
          <c:spPr>
            <a:ln>
              <a:noFill/>
            </a:ln>
          </c:spPr>
          <c:marker>
            <c:symbol val="circle"/>
            <c:size val="6"/>
            <c:spPr>
              <a:solidFill>
                <a:srgbClr val="0072B2"/>
              </a:solidFill>
              <a:ln>
                <a:noFill/>
              </a:ln>
            </c:spPr>
          </c:marker>
          <c:cat>
            <c:strRef>
              <c:f>'Decarbonization Potential'!$C$34:$C$40</c:f>
              <c:strCache>
                <c:ptCount val="7"/>
                <c:pt idx="0">
                  <c:v>Alternative Fuels</c:v>
                </c:pt>
                <c:pt idx="1">
                  <c:v>Thermal Efficiency Improvements</c:v>
                </c:pt>
                <c:pt idx="2">
                  <c:v>Decarbonisation of Electricity</c:v>
                </c:pt>
                <c:pt idx="3">
                  <c:v>Clinker Replacement</c:v>
                </c:pt>
                <c:pt idx="4">
                  <c:v>Reduction of Overspecification</c:v>
                </c:pt>
                <c:pt idx="5">
                  <c:v>Concrete Mix Design Optimisation</c:v>
                </c:pt>
                <c:pt idx="6">
                  <c:v>Improved Design of Structural Elements</c:v>
                </c:pt>
              </c:strCache>
            </c:strRef>
          </c:cat>
          <c:val>
            <c:numRef>
              <c:f>'Decarbonization Potential'!$D$34:$D$40</c:f>
              <c:numCache>
                <c:formatCode>0.00</c:formatCode>
                <c:ptCount val="7"/>
                <c:pt idx="0">
                  <c:v>0.4769181600000002</c:v>
                </c:pt>
                <c:pt idx="1">
                  <c:v>0.52632860000000015</c:v>
                </c:pt>
                <c:pt idx="2">
                  <c:v>0.26731716</c:v>
                </c:pt>
                <c:pt idx="3">
                  <c:v>1.6090617199999999</c:v>
                </c:pt>
                <c:pt idx="4">
                  <c:v>0.60739685039706826</c:v>
                </c:pt>
                <c:pt idx="5">
                  <c:v>0.60739685039706826</c:v>
                </c:pt>
                <c:pt idx="6">
                  <c:v>0.8924349654245568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724-4D05-83CD-DB0917A2F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91208"/>
        <c:axId val="566696456"/>
      </c:lineChart>
      <c:catAx>
        <c:axId val="56669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6696456"/>
        <c:crosses val="autoZero"/>
        <c:auto val="1"/>
        <c:lblAlgn val="ctr"/>
        <c:lblOffset val="100"/>
        <c:noMultiLvlLbl val="0"/>
      </c:catAx>
      <c:valAx>
        <c:axId val="566696456"/>
        <c:scaling>
          <c:orientation val="minMax"/>
          <c:max val="2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Decarbonisation Potential (MtCO</a:t>
                </a:r>
                <a:r>
                  <a:rPr lang="en-GB" sz="1000" b="0" i="0" baseline="-2500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2eq</a:t>
                </a:r>
                <a:r>
                  <a:rPr lang="en-GB" sz="1000" b="0" i="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/yr)</a:t>
                </a:r>
                <a:endParaRPr lang="en-GB" sz="100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386108427982043E-3"/>
              <c:y val="0.174089874480978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669120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'Decarbonization Potential'!$E$18</c:f>
              <c:strCache>
                <c:ptCount val="1"/>
                <c:pt idx="0">
                  <c:v>Minimum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Potential'!$C$19:$C$29</c:f>
              <c:strCache>
                <c:ptCount val="11"/>
                <c:pt idx="0">
                  <c:v>Carbon Capture and Storage</c:v>
                </c:pt>
                <c:pt idx="1">
                  <c:v>Recycling of Concrete Fines</c:v>
                </c:pt>
                <c:pt idx="2">
                  <c:v>Electrification</c:v>
                </c:pt>
                <c:pt idx="3">
                  <c:v>Alternative Fuels</c:v>
                </c:pt>
                <c:pt idx="4">
                  <c:v>Thermal Efficiency Improvements</c:v>
                </c:pt>
                <c:pt idx="5">
                  <c:v>Decarbonisation of Electricity</c:v>
                </c:pt>
                <c:pt idx="6">
                  <c:v>Alternative Binders</c:v>
                </c:pt>
                <c:pt idx="7">
                  <c:v>Clinker Replacement</c:v>
                </c:pt>
                <c:pt idx="8">
                  <c:v>Reduction of Overspecification</c:v>
                </c:pt>
                <c:pt idx="9">
                  <c:v>Concrete Mix Design Optimisation</c:v>
                </c:pt>
                <c:pt idx="10">
                  <c:v>Improved Design of Structural Elements</c:v>
                </c:pt>
              </c:strCache>
            </c:strRef>
          </c:cat>
          <c:val>
            <c:numRef>
              <c:f>'Decarbonization Potential'!$E$19:$E$29</c:f>
              <c:numCache>
                <c:formatCode>0.00</c:formatCode>
                <c:ptCount val="11"/>
                <c:pt idx="0">
                  <c:v>2.8158580100000004</c:v>
                </c:pt>
                <c:pt idx="1">
                  <c:v>0.33969080755555564</c:v>
                </c:pt>
                <c:pt idx="2">
                  <c:v>0.24135925800000005</c:v>
                </c:pt>
                <c:pt idx="3">
                  <c:v>0.90286240955555574</c:v>
                </c:pt>
                <c:pt idx="4">
                  <c:v>0.29499464866666675</c:v>
                </c:pt>
                <c:pt idx="5">
                  <c:v>0.3768889044015048</c:v>
                </c:pt>
                <c:pt idx="6">
                  <c:v>2.8266667830112863E-2</c:v>
                </c:pt>
                <c:pt idx="7">
                  <c:v>0.17902222959071476</c:v>
                </c:pt>
                <c:pt idx="8">
                  <c:v>9.2306291098350673E-2</c:v>
                </c:pt>
                <c:pt idx="9">
                  <c:v>0.68460499231276739</c:v>
                </c:pt>
                <c:pt idx="10">
                  <c:v>0.53546097925473446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0-42B1-9D3E-08606F25B802}"/>
            </c:ext>
          </c:extLst>
        </c:ser>
        <c:ser>
          <c:idx val="1"/>
          <c:order val="1"/>
          <c:tx>
            <c:strRef>
              <c:f>'Decarbonization Potential'!$F$18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D55E00"/>
              </a:solidFill>
              <a:ln w="9525">
                <a:noFill/>
              </a:ln>
              <a:effectLst/>
            </c:spPr>
          </c:marker>
          <c:cat>
            <c:strRef>
              <c:f>'Decarbonization Potential'!$C$19:$C$29</c:f>
              <c:strCache>
                <c:ptCount val="11"/>
                <c:pt idx="0">
                  <c:v>Carbon Capture and Storage</c:v>
                </c:pt>
                <c:pt idx="1">
                  <c:v>Recycling of Concrete Fines</c:v>
                </c:pt>
                <c:pt idx="2">
                  <c:v>Electrification</c:v>
                </c:pt>
                <c:pt idx="3">
                  <c:v>Alternative Fuels</c:v>
                </c:pt>
                <c:pt idx="4">
                  <c:v>Thermal Efficiency Improvements</c:v>
                </c:pt>
                <c:pt idx="5">
                  <c:v>Decarbonisation of Electricity</c:v>
                </c:pt>
                <c:pt idx="6">
                  <c:v>Alternative Binders</c:v>
                </c:pt>
                <c:pt idx="7">
                  <c:v>Clinker Replacement</c:v>
                </c:pt>
                <c:pt idx="8">
                  <c:v>Reduction of Overspecification</c:v>
                </c:pt>
                <c:pt idx="9">
                  <c:v>Concrete Mix Design Optimisation</c:v>
                </c:pt>
                <c:pt idx="10">
                  <c:v>Improved Design of Structural Elements</c:v>
                </c:pt>
              </c:strCache>
            </c:strRef>
          </c:cat>
          <c:val>
            <c:numRef>
              <c:f>'Decarbonization Potential'!$F$19:$F$29</c:f>
              <c:numCache>
                <c:formatCode>0.00</c:formatCode>
                <c:ptCount val="11"/>
                <c:pt idx="0">
                  <c:v>3.8327850170400013</c:v>
                </c:pt>
                <c:pt idx="1">
                  <c:v>0.75894077793333348</c:v>
                </c:pt>
                <c:pt idx="2">
                  <c:v>1.3435665362000004</c:v>
                </c:pt>
                <c:pt idx="3">
                  <c:v>1.0660033895000003</c:v>
                </c:pt>
                <c:pt idx="4">
                  <c:v>0.27622226193333338</c:v>
                </c:pt>
                <c:pt idx="5">
                  <c:v>0.43860446249725127</c:v>
                </c:pt>
                <c:pt idx="6">
                  <c:v>0.34909334770189382</c:v>
                </c:pt>
                <c:pt idx="7">
                  <c:v>0.79217336593891274</c:v>
                </c:pt>
                <c:pt idx="8">
                  <c:v>0.46153145549175334</c:v>
                </c:pt>
                <c:pt idx="9">
                  <c:v>1.276903693527184</c:v>
                </c:pt>
                <c:pt idx="10">
                  <c:v>0.76005711221991479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0-42B1-9D3E-08606F25B802}"/>
            </c:ext>
          </c:extLst>
        </c:ser>
        <c:ser>
          <c:idx val="2"/>
          <c:order val="2"/>
          <c:tx>
            <c:strRef>
              <c:f>'Decarbonization Potential'!$G$18</c:f>
              <c:strCache>
                <c:ptCount val="1"/>
                <c:pt idx="0">
                  <c:v>Maximum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'Decarbonization Potential'!$C$19:$C$29</c:f>
              <c:strCache>
                <c:ptCount val="11"/>
                <c:pt idx="0">
                  <c:v>Carbon Capture and Storage</c:v>
                </c:pt>
                <c:pt idx="1">
                  <c:v>Recycling of Concrete Fines</c:v>
                </c:pt>
                <c:pt idx="2">
                  <c:v>Electrification</c:v>
                </c:pt>
                <c:pt idx="3">
                  <c:v>Alternative Fuels</c:v>
                </c:pt>
                <c:pt idx="4">
                  <c:v>Thermal Efficiency Improvements</c:v>
                </c:pt>
                <c:pt idx="5">
                  <c:v>Decarbonisation of Electricity</c:v>
                </c:pt>
                <c:pt idx="6">
                  <c:v>Alternative Binders</c:v>
                </c:pt>
                <c:pt idx="7">
                  <c:v>Clinker Replacement</c:v>
                </c:pt>
                <c:pt idx="8">
                  <c:v>Reduction of Overspecification</c:v>
                </c:pt>
                <c:pt idx="9">
                  <c:v>Concrete Mix Design Optimisation</c:v>
                </c:pt>
                <c:pt idx="10">
                  <c:v>Improved Design of Structural Elements</c:v>
                </c:pt>
              </c:strCache>
            </c:strRef>
          </c:cat>
          <c:val>
            <c:numRef>
              <c:f>'Decarbonization Potential'!$G$19:$G$29</c:f>
              <c:numCache>
                <c:formatCode>0.00</c:formatCode>
                <c:ptCount val="11"/>
                <c:pt idx="0">
                  <c:v>6.6150315155555566</c:v>
                </c:pt>
                <c:pt idx="1">
                  <c:v>1.1084647404444448</c:v>
                </c:pt>
                <c:pt idx="2">
                  <c:v>2.7443441557777781</c:v>
                </c:pt>
                <c:pt idx="3">
                  <c:v>1.4302770844444448</c:v>
                </c:pt>
                <c:pt idx="4">
                  <c:v>0.33075157577777781</c:v>
                </c:pt>
                <c:pt idx="5">
                  <c:v>0.53706668877214436</c:v>
                </c:pt>
                <c:pt idx="6">
                  <c:v>0.84800003490338571</c:v>
                </c:pt>
                <c:pt idx="7">
                  <c:v>1.3473778332353794</c:v>
                </c:pt>
                <c:pt idx="8">
                  <c:v>0.76921909248625564</c:v>
                </c:pt>
                <c:pt idx="9">
                  <c:v>1.869202394741601</c:v>
                </c:pt>
                <c:pt idx="10">
                  <c:v>0.89243496542455747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0-42B1-9D3E-08606F25B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  <a:headEnd type="oval" w="sm" len="sm"/>
              <a:tailEnd type="oval" w="sm" len="sm"/>
            </a:ln>
            <a:effectLst/>
          </c:spPr>
        </c:hiLowLines>
        <c:smooth val="0"/>
        <c:axId val="242697624"/>
        <c:axId val="242696640"/>
      </c:lineChart>
      <c:catAx>
        <c:axId val="24269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2696640"/>
        <c:crosses val="autoZero"/>
        <c:auto val="1"/>
        <c:lblAlgn val="ctr"/>
        <c:lblOffset val="100"/>
        <c:noMultiLvlLbl val="0"/>
      </c:catAx>
      <c:valAx>
        <c:axId val="24269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900" b="0" i="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Decarbonisation Potential (MtCO</a:t>
                </a:r>
                <a:r>
                  <a:rPr lang="en-GB" sz="900" b="0" i="0" baseline="-2500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2eq</a:t>
                </a:r>
                <a:r>
                  <a:rPr lang="en-GB" sz="900" b="0" i="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/yr)</a:t>
                </a:r>
                <a:endParaRPr lang="en-GB" sz="90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5.6641481658442948E-3"/>
              <c:y val="0.18200908448168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2697624"/>
        <c:crosses val="autoZero"/>
        <c:crossBetween val="between"/>
      </c:valAx>
      <c:spPr>
        <a:noFill/>
        <a:ln>
          <a:solidFill>
            <a:schemeClr val="tx1">
              <a:lumMod val="75000"/>
              <a:lumOff val="2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val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 sz="18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Low Probability</a:t>
            </a:r>
          </a:p>
        </cx:rich>
      </cx:tx>
    </cx:title>
    <cx:plotArea>
      <cx:plotAreaRegion>
        <cx:series layoutId="waterfall" uniqueId="{A69C7DFF-BE8E-4BA3-B03E-40363F0B8CC3}" formatIdx="0">
          <cx:tx>
            <cx:txData>
              <cx:f>_xlchart.2</cx:f>
              <cx:v/>
            </cx:txData>
          </cx:tx>
          <cx:dataId val="0"/>
          <cx:layoutPr>
            <cx:visibility connectorLines="0"/>
            <cx:subtotals/>
          </cx:layoutPr>
        </cx:series>
      </cx:plotAreaRegion>
      <cx:axis id="0">
        <cx:catScaling gapWidth="0"/>
        <cx:tickLabels/>
        <cx:txPr>
          <a:bodyPr spcFirstLastPara="1" vertOverflow="ellipsis" wrap="square" lIns="0" tIns="0" rIns="0" bIns="0" anchor="ctr" anchorCtr="1"/>
          <a:lstStyle/>
          <a:p>
            <a:pPr>
              <a:defRPr sz="1600">
                <a:solidFill>
                  <a:schemeClr val="bg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 sz="16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  <cx:axis id="1">
        <cx:valScaling min="0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rtl="0"/>
                <a:r>
                  <a:rPr lang="en-GB" sz="1800" b="0" i="0" baseline="0">
                    <a:solidFill>
                      <a:schemeClr val="bg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Carbon Dioxide Emissions (Mt CO2eq)</a:t>
                </a:r>
                <a:endParaRPr lang="en-GB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rich>
          </cx:tx>
        </cx:title>
        <cx:majorGridlines/>
        <cx:tickLabels/>
        <cx:txPr>
          <a:bodyPr spcFirstLastPara="1" vertOverflow="ellipsis" wrap="square" lIns="0" tIns="0" rIns="0" bIns="0" anchor="ctr" anchorCtr="1"/>
          <a:lstStyle/>
          <a:p>
            <a:pPr>
              <a:defRPr sz="1600">
                <a:solidFill>
                  <a:schemeClr val="bg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 sz="16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_xlchart.3</cx:f>
      </cx:strDim>
      <cx:numDim type="val">
        <cx:f>_xlchart.5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 lang="en-US" sz="18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Decarbonisation Potential Low vs. High Probability</a:t>
            </a:r>
          </a:p>
        </cx:rich>
      </cx:tx>
    </cx:title>
    <cx:plotArea>
      <cx:plotAreaRegion>
        <cx:series layoutId="waterfall" uniqueId="{A69C7DFF-BE8E-4BA3-B03E-40363F0B8CC3}">
          <cx:tx>
            <cx:txData>
              <cx:f>_xlchart.4</cx:f>
              <cx:v/>
            </cx:txData>
          </cx:tx>
          <cx:spPr>
            <a:solidFill>
              <a:schemeClr val="accent6">
                <a:alpha val="36000"/>
              </a:schemeClr>
            </a:solidFill>
          </cx:spPr>
          <cx:dataId val="0"/>
          <cx:layoutPr>
            <cx:visibility connectorLines="0"/>
            <cx:subtotals/>
          </cx:layoutPr>
        </cx:series>
      </cx:plotAreaRegion>
      <cx:axis id="0">
        <cx:catScaling gapWidth="0"/>
        <cx:tickLabels/>
        <cx:txPr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  <cx:axis id="1">
        <cx:valScaling min="0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rtl="0"/>
                <a:r>
                  <a:rPr lang="en-GB" sz="1800" b="0" i="0" baseline="0">
                    <a:effectLst/>
                    <a:latin typeface="+mn-lt"/>
                  </a:rPr>
                  <a:t>Carbon Dioxide Emissions (Mt CO</a:t>
                </a:r>
                <a:r>
                  <a:rPr lang="en-GB" sz="1100" b="0" i="0" baseline="0">
                    <a:effectLst/>
                    <a:latin typeface="+mn-lt"/>
                  </a:rPr>
                  <a:t>2</a:t>
                </a:r>
                <a:r>
                  <a:rPr lang="en-GB" sz="1800" b="0" i="0" baseline="0">
                    <a:effectLst/>
                    <a:latin typeface="+mn-lt"/>
                  </a:rPr>
                  <a:t>eq)</a:t>
                </a:r>
                <a:endParaRPr lang="en-GB">
                  <a:effectLst/>
                  <a:latin typeface="+mn-lt"/>
                </a:endParaRPr>
              </a:p>
            </cx:rich>
          </cx:tx>
        </cx:title>
        <cx:majorGridlines/>
        <cx:tickLabels/>
        <cx:txPr>
          <a:bodyPr spcFirstLastPara="1" vertOverflow="ellipsis" wrap="square" lIns="0" tIns="0" rIns="0" bIns="0" anchor="ctr" anchorCtr="1"/>
          <a:lstStyle/>
          <a:p>
            <a:pPr>
              <a:defRPr sz="160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 sz="16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</cx:plotArea>
  </cx:chart>
  <cx:spPr>
    <a:noFill/>
  </cx:spPr>
  <cx:clrMapOvr bg1="lt1" tx1="dk1" bg2="lt2" tx2="dk2" accent1="accent1" accent2="accent2" accent3="accent3" accent4="accent4" accent5="accent5" accent6="accent6" hlink="hlink" folHlink="folHlink"/>
</cx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'Cumulative Carbon Calculations'!$I$3</c:f>
              <c:strCache>
                <c:ptCount val="1"/>
                <c:pt idx="0">
                  <c:v>BAU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'Cumulative Carbon Calculations'!$A$31:$A$56</c:f>
              <c:numCache>
                <c:formatCode>0</c:formatCode>
                <c:ptCount val="26"/>
                <c:pt idx="0">
                  <c:v>2025</c:v>
                </c:pt>
                <c:pt idx="5">
                  <c:v>2030</c:v>
                </c:pt>
                <c:pt idx="10">
                  <c:v>2035</c:v>
                </c:pt>
                <c:pt idx="15">
                  <c:v>2040</c:v>
                </c:pt>
                <c:pt idx="20">
                  <c:v>2045</c:v>
                </c:pt>
                <c:pt idx="25">
                  <c:v>2050</c:v>
                </c:pt>
              </c:numCache>
            </c:numRef>
          </c:cat>
          <c:val>
            <c:numRef>
              <c:f>'Cumulative Carbon Calculations'!$I$4:$I$29</c:f>
              <c:numCache>
                <c:formatCode>0.00</c:formatCode>
                <c:ptCount val="26"/>
                <c:pt idx="0">
                  <c:v>9.4824132207697041</c:v>
                </c:pt>
                <c:pt idx="1">
                  <c:v>9.5582725265358608</c:v>
                </c:pt>
                <c:pt idx="2">
                  <c:v>9.6341318323020175</c:v>
                </c:pt>
                <c:pt idx="3">
                  <c:v>9.7099911380681743</c:v>
                </c:pt>
                <c:pt idx="4">
                  <c:v>9.785850443834331</c:v>
                </c:pt>
                <c:pt idx="5">
                  <c:v>9.8617097496004877</c:v>
                </c:pt>
                <c:pt idx="6">
                  <c:v>9.9375690553666445</c:v>
                </c:pt>
                <c:pt idx="7">
                  <c:v>10.013428361132801</c:v>
                </c:pt>
                <c:pt idx="8">
                  <c:v>10.089287666898958</c:v>
                </c:pt>
                <c:pt idx="9">
                  <c:v>10.165146972665115</c:v>
                </c:pt>
                <c:pt idx="10">
                  <c:v>10.241006278431271</c:v>
                </c:pt>
                <c:pt idx="11">
                  <c:v>10.316865584197428</c:v>
                </c:pt>
                <c:pt idx="12">
                  <c:v>10.392724889963585</c:v>
                </c:pt>
                <c:pt idx="13">
                  <c:v>10.468584195729742</c:v>
                </c:pt>
                <c:pt idx="14">
                  <c:v>10.544443501495898</c:v>
                </c:pt>
                <c:pt idx="15">
                  <c:v>10.620302807262055</c:v>
                </c:pt>
                <c:pt idx="16">
                  <c:v>10.696162113028212</c:v>
                </c:pt>
                <c:pt idx="17">
                  <c:v>10.772021418794369</c:v>
                </c:pt>
                <c:pt idx="18">
                  <c:v>10.847880724560525</c:v>
                </c:pt>
                <c:pt idx="19">
                  <c:v>10.923740030326682</c:v>
                </c:pt>
                <c:pt idx="20">
                  <c:v>10.999599336092839</c:v>
                </c:pt>
                <c:pt idx="21">
                  <c:v>11.075458641858996</c:v>
                </c:pt>
                <c:pt idx="22">
                  <c:v>11.151317947625152</c:v>
                </c:pt>
                <c:pt idx="23">
                  <c:v>11.227177253391309</c:v>
                </c:pt>
                <c:pt idx="24">
                  <c:v>11.303036559157466</c:v>
                </c:pt>
                <c:pt idx="25">
                  <c:v>11.378895864923644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140-AC43-C91F21D812D6}"/>
            </c:ext>
          </c:extLst>
        </c:ser>
        <c:ser>
          <c:idx val="1"/>
          <c:order val="1"/>
          <c:tx>
            <c:strRef>
              <c:f>'Cumulative Carbon Calculations'!$J$3</c:f>
              <c:strCache>
                <c:ptCount val="1"/>
                <c:pt idx="0">
                  <c:v>Net-zero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'Cumulative Carbon Calculations'!$A$31:$A$56</c:f>
              <c:numCache>
                <c:formatCode>0</c:formatCode>
                <c:ptCount val="26"/>
                <c:pt idx="0">
                  <c:v>2025</c:v>
                </c:pt>
                <c:pt idx="5">
                  <c:v>2030</c:v>
                </c:pt>
                <c:pt idx="10">
                  <c:v>2035</c:v>
                </c:pt>
                <c:pt idx="15">
                  <c:v>2040</c:v>
                </c:pt>
                <c:pt idx="20">
                  <c:v>2045</c:v>
                </c:pt>
                <c:pt idx="25">
                  <c:v>2050</c:v>
                </c:pt>
              </c:numCache>
            </c:numRef>
          </c:cat>
          <c:val>
            <c:numRef>
              <c:f>'Cumulative Carbon Calculations'!$J$4:$J$29</c:f>
              <c:numCache>
                <c:formatCode>0.00</c:formatCode>
                <c:ptCount val="26"/>
                <c:pt idx="0">
                  <c:v>9.4824132207697041</c:v>
                </c:pt>
                <c:pt idx="1">
                  <c:v>8.3445236342773388</c:v>
                </c:pt>
                <c:pt idx="2">
                  <c:v>7.2066340477849744</c:v>
                </c:pt>
                <c:pt idx="3">
                  <c:v>6.06874446129261</c:v>
                </c:pt>
                <c:pt idx="4">
                  <c:v>4.9308548748002456</c:v>
                </c:pt>
                <c:pt idx="5">
                  <c:v>3.7929652883078817</c:v>
                </c:pt>
                <c:pt idx="6">
                  <c:v>3.6033170238924876</c:v>
                </c:pt>
                <c:pt idx="7">
                  <c:v>3.4136687594770936</c:v>
                </c:pt>
                <c:pt idx="8">
                  <c:v>3.2240204950616995</c:v>
                </c:pt>
                <c:pt idx="9">
                  <c:v>3.0343722306463055</c:v>
                </c:pt>
                <c:pt idx="10">
                  <c:v>2.8447239662309114</c:v>
                </c:pt>
                <c:pt idx="11">
                  <c:v>2.6550757018155173</c:v>
                </c:pt>
                <c:pt idx="12">
                  <c:v>2.4654274374001233</c:v>
                </c:pt>
                <c:pt idx="13">
                  <c:v>2.2757791729847292</c:v>
                </c:pt>
                <c:pt idx="14">
                  <c:v>2.0861309085693351</c:v>
                </c:pt>
                <c:pt idx="15">
                  <c:v>1.8964826441539409</c:v>
                </c:pt>
                <c:pt idx="16">
                  <c:v>1.7068343797385468</c:v>
                </c:pt>
                <c:pt idx="17">
                  <c:v>1.5171861153231527</c:v>
                </c:pt>
                <c:pt idx="18">
                  <c:v>1.3275378509077587</c:v>
                </c:pt>
                <c:pt idx="19">
                  <c:v>1.1378895864923646</c:v>
                </c:pt>
                <c:pt idx="20">
                  <c:v>0.94824132207697054</c:v>
                </c:pt>
                <c:pt idx="21">
                  <c:v>0.75859305766157648</c:v>
                </c:pt>
                <c:pt idx="22">
                  <c:v>0.56894479324618241</c:v>
                </c:pt>
                <c:pt idx="23">
                  <c:v>0.37929652883078835</c:v>
                </c:pt>
                <c:pt idx="24">
                  <c:v>0.18964826441539426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0-4140-AC43-C91F21D812D6}"/>
            </c:ext>
          </c:extLst>
        </c:ser>
        <c:ser>
          <c:idx val="2"/>
          <c:order val="2"/>
          <c:tx>
            <c:strRef>
              <c:f>'Cumulative Carbon Calculations'!$H$3</c:f>
              <c:strCache>
                <c:ptCount val="1"/>
                <c:pt idx="0">
                  <c:v>Low Probability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'Cumulative Carbon Calculations'!$A$31:$A$56</c:f>
              <c:numCache>
                <c:formatCode>0</c:formatCode>
                <c:ptCount val="26"/>
                <c:pt idx="0">
                  <c:v>2025</c:v>
                </c:pt>
                <c:pt idx="5">
                  <c:v>2030</c:v>
                </c:pt>
                <c:pt idx="10">
                  <c:v>2035</c:v>
                </c:pt>
                <c:pt idx="15">
                  <c:v>2040</c:v>
                </c:pt>
                <c:pt idx="20">
                  <c:v>2045</c:v>
                </c:pt>
                <c:pt idx="25">
                  <c:v>2050</c:v>
                </c:pt>
              </c:numCache>
            </c:numRef>
          </c:cat>
          <c:val>
            <c:numRef>
              <c:f>'Cumulative Carbon Calculations'!$H$4:$H$29</c:f>
              <c:numCache>
                <c:formatCode>0.00</c:formatCode>
                <c:ptCount val="26"/>
                <c:pt idx="0">
                  <c:v>9.4824132207697041</c:v>
                </c:pt>
                <c:pt idx="1">
                  <c:v>9.103116691938915</c:v>
                </c:pt>
                <c:pt idx="2">
                  <c:v>8.723820163108126</c:v>
                </c:pt>
                <c:pt idx="3">
                  <c:v>8.344523634277337</c:v>
                </c:pt>
                <c:pt idx="4">
                  <c:v>7.965227105446548</c:v>
                </c:pt>
                <c:pt idx="5">
                  <c:v>7.5859305766157572</c:v>
                </c:pt>
                <c:pt idx="6">
                  <c:v>7.2066340477849682</c:v>
                </c:pt>
                <c:pt idx="7">
                  <c:v>6.8273375189541792</c:v>
                </c:pt>
                <c:pt idx="8">
                  <c:v>6.4480409901233902</c:v>
                </c:pt>
                <c:pt idx="9">
                  <c:v>6.0687444612926011</c:v>
                </c:pt>
                <c:pt idx="10">
                  <c:v>5.6894479324618121</c:v>
                </c:pt>
                <c:pt idx="11">
                  <c:v>5.3101514036310231</c:v>
                </c:pt>
                <c:pt idx="12">
                  <c:v>4.9308548748002341</c:v>
                </c:pt>
                <c:pt idx="13">
                  <c:v>4.5515583459694451</c:v>
                </c:pt>
                <c:pt idx="14">
                  <c:v>4.1722618171386561</c:v>
                </c:pt>
                <c:pt idx="15">
                  <c:v>3.7929652883078675</c:v>
                </c:pt>
                <c:pt idx="16">
                  <c:v>3.4136687594770785</c:v>
                </c:pt>
                <c:pt idx="17">
                  <c:v>3.0343722306462895</c:v>
                </c:pt>
                <c:pt idx="18">
                  <c:v>2.6550757018155005</c:v>
                </c:pt>
                <c:pt idx="19">
                  <c:v>2.2757791729847114</c:v>
                </c:pt>
                <c:pt idx="20">
                  <c:v>1.8964826441539224</c:v>
                </c:pt>
                <c:pt idx="21">
                  <c:v>1.5171861153231334</c:v>
                </c:pt>
                <c:pt idx="22">
                  <c:v>1.1378895864923448</c:v>
                </c:pt>
                <c:pt idx="23">
                  <c:v>0.75859305766155583</c:v>
                </c:pt>
                <c:pt idx="24">
                  <c:v>0.37929652883076681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0-4140-AC43-C91F21D812D6}"/>
            </c:ext>
          </c:extLst>
        </c:ser>
        <c:ser>
          <c:idx val="3"/>
          <c:order val="3"/>
          <c:tx>
            <c:strRef>
              <c:f>'Cumulative Carbon Calculations'!$G$3</c:f>
              <c:strCache>
                <c:ptCount val="1"/>
                <c:pt idx="0">
                  <c:v>High Probability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'Cumulative Carbon Calculations'!$A$31:$A$56</c:f>
              <c:numCache>
                <c:formatCode>0</c:formatCode>
                <c:ptCount val="26"/>
                <c:pt idx="0">
                  <c:v>2025</c:v>
                </c:pt>
                <c:pt idx="5">
                  <c:v>2030</c:v>
                </c:pt>
                <c:pt idx="10">
                  <c:v>2035</c:v>
                </c:pt>
                <c:pt idx="15">
                  <c:v>2040</c:v>
                </c:pt>
                <c:pt idx="20">
                  <c:v>2045</c:v>
                </c:pt>
                <c:pt idx="25">
                  <c:v>2050</c:v>
                </c:pt>
              </c:numCache>
            </c:numRef>
          </c:cat>
          <c:val>
            <c:numRef>
              <c:f>'Cumulative Carbon Calculations'!$G$4:$G$29</c:f>
              <c:numCache>
                <c:formatCode>0.00</c:formatCode>
                <c:ptCount val="26"/>
                <c:pt idx="0">
                  <c:v>9.4824132207697041</c:v>
                </c:pt>
                <c:pt idx="1">
                  <c:v>9.2986199186052207</c:v>
                </c:pt>
                <c:pt idx="2">
                  <c:v>9.114826616440741</c:v>
                </c:pt>
                <c:pt idx="3">
                  <c:v>8.9310333142762595</c:v>
                </c:pt>
                <c:pt idx="4">
                  <c:v>8.7472400121117762</c:v>
                </c:pt>
                <c:pt idx="5">
                  <c:v>8.5634467099472946</c:v>
                </c:pt>
                <c:pt idx="6">
                  <c:v>8.3796534077828131</c:v>
                </c:pt>
                <c:pt idx="7">
                  <c:v>8.1958601056183316</c:v>
                </c:pt>
                <c:pt idx="8">
                  <c:v>8.01206680345385</c:v>
                </c:pt>
                <c:pt idx="9">
                  <c:v>7.8282735012893667</c:v>
                </c:pt>
                <c:pt idx="10">
                  <c:v>7.6444801991248861</c:v>
                </c:pt>
                <c:pt idx="11">
                  <c:v>7.4606868969604054</c:v>
                </c:pt>
                <c:pt idx="12">
                  <c:v>7.2768935947959221</c:v>
                </c:pt>
                <c:pt idx="13">
                  <c:v>7.0931002926314397</c:v>
                </c:pt>
                <c:pt idx="14">
                  <c:v>6.9093069904669591</c:v>
                </c:pt>
                <c:pt idx="15">
                  <c:v>6.7255136883024775</c:v>
                </c:pt>
                <c:pt idx="16">
                  <c:v>6.5417203861379951</c:v>
                </c:pt>
                <c:pt idx="17">
                  <c:v>6.3579270839735127</c:v>
                </c:pt>
                <c:pt idx="18">
                  <c:v>6.1741337818090312</c:v>
                </c:pt>
                <c:pt idx="19">
                  <c:v>5.9903404796445496</c:v>
                </c:pt>
                <c:pt idx="20">
                  <c:v>5.8065471774800672</c:v>
                </c:pt>
                <c:pt idx="21">
                  <c:v>5.6227538753155848</c:v>
                </c:pt>
                <c:pt idx="22">
                  <c:v>5.4389605731511033</c:v>
                </c:pt>
                <c:pt idx="23">
                  <c:v>5.2551672709866217</c:v>
                </c:pt>
                <c:pt idx="24">
                  <c:v>5.0713739688221393</c:v>
                </c:pt>
                <c:pt idx="25">
                  <c:v>4.8875806666576782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0-4140-AC43-C91F21D812D6}"/>
            </c:ext>
          </c:extLst>
        </c:ser>
        <c:ser>
          <c:idx val="4"/>
          <c:order val="4"/>
          <c:tx>
            <c:strRef>
              <c:f>'Cumulative Carbon Calculations'!$K$3</c:f>
              <c:strCache>
                <c:ptCount val="1"/>
                <c:pt idx="0">
                  <c:v>LM Implementation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'Cumulative Carbon Calculations'!$A$31:$A$56</c:f>
              <c:numCache>
                <c:formatCode>0</c:formatCode>
                <c:ptCount val="26"/>
                <c:pt idx="0">
                  <c:v>2025</c:v>
                </c:pt>
                <c:pt idx="5">
                  <c:v>2030</c:v>
                </c:pt>
                <c:pt idx="10">
                  <c:v>2035</c:v>
                </c:pt>
                <c:pt idx="15">
                  <c:v>2040</c:v>
                </c:pt>
                <c:pt idx="20">
                  <c:v>2045</c:v>
                </c:pt>
                <c:pt idx="25">
                  <c:v>2050</c:v>
                </c:pt>
              </c:numCache>
            </c:numRef>
          </c:cat>
          <c:val>
            <c:numRef>
              <c:f>'Cumulative Carbon Calculations'!$K$4:$K$29</c:f>
              <c:numCache>
                <c:formatCode>0.00</c:formatCode>
                <c:ptCount val="26"/>
                <c:pt idx="0">
                  <c:v>0</c:v>
                </c:pt>
                <c:pt idx="1">
                  <c:v>3.2264544589083358E-2</c:v>
                </c:pt>
                <c:pt idx="2">
                  <c:v>6.7922380953893233E-2</c:v>
                </c:pt>
                <c:pt idx="3">
                  <c:v>0.10733038470578141</c:v>
                </c:pt>
                <c:pt idx="4">
                  <c:v>0.1508829643917842</c:v>
                </c:pt>
                <c:pt idx="5">
                  <c:v>0.19901600886792672</c:v>
                </c:pt>
                <c:pt idx="6">
                  <c:v>0.25221124982140114</c:v>
                </c:pt>
                <c:pt idx="7">
                  <c:v>0.31100108310320779</c:v>
                </c:pt>
                <c:pt idx="8">
                  <c:v>0.3759738971247763</c:v>
                </c:pt>
                <c:pt idx="9">
                  <c:v>0.44777996164695139</c:v>
                </c:pt>
                <c:pt idx="10">
                  <c:v>0.52713793589832281</c:v>
                </c:pt>
                <c:pt idx="11">
                  <c:v>0.61484206115833473</c:v>
                </c:pt>
                <c:pt idx="12">
                  <c:v>0.71177010979096367</c:v>
                </c:pt>
                <c:pt idx="13">
                  <c:v>0.81889217028556704</c:v>
                </c:pt>
                <c:pt idx="14">
                  <c:v>0.93728035622854322</c:v>
                </c:pt>
                <c:pt idx="15">
                  <c:v>1.0681195363764522</c:v>
                </c:pt>
                <c:pt idx="16">
                  <c:v>1.2127191932207821</c:v>
                </c:pt>
                <c:pt idx="17">
                  <c:v>1.3725265287288542</c:v>
                </c:pt>
                <c:pt idx="18">
                  <c:v>1.5491409484275325</c:v>
                </c:pt>
                <c:pt idx="19">
                  <c:v>1.744330068791319</c:v>
                </c:pt>
                <c:pt idx="20">
                  <c:v>1.9600474081421428</c:v>
                </c:pt>
                <c:pt idx="21">
                  <c:v>2.1984519381173295</c:v>
                </c:pt>
                <c:pt idx="22">
                  <c:v>2.461929691383399</c:v>
                </c:pt>
                <c:pt idx="23">
                  <c:v>2.7531176418529704</c:v>
                </c:pt>
                <c:pt idx="24">
                  <c:v>3.0749300964059927</c:v>
                </c:pt>
                <c:pt idx="25">
                  <c:v>3.430587862252533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B-4DE4-B968-555BA500D93D}"/>
            </c:ext>
          </c:extLst>
        </c:ser>
        <c:ser>
          <c:idx val="5"/>
          <c:order val="5"/>
          <c:tx>
            <c:strRef>
              <c:f>'Cumulative Carbon Calculations'!$L$3</c:f>
              <c:strCache>
                <c:ptCount val="1"/>
                <c:pt idx="0">
                  <c:v>Circularity Solution Implementation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'Cumulative Carbon Calculations'!$L$4:$L$29</c:f>
              <c:numCache>
                <c:formatCode>0.00</c:formatCode>
                <c:ptCount val="26"/>
                <c:pt idx="0">
                  <c:v>1E-3</c:v>
                </c:pt>
                <c:pt idx="1">
                  <c:v>1.4046358790142392E-3</c:v>
                </c:pt>
                <c:pt idx="2">
                  <c:v>1.9730019526141046E-3</c:v>
                </c:pt>
                <c:pt idx="3">
                  <c:v>2.771349332006923E-3</c:v>
                </c:pt>
                <c:pt idx="4">
                  <c:v>3.8927367050190691E-3</c:v>
                </c:pt>
                <c:pt idx="5">
                  <c:v>5.4678776434254539E-3</c:v>
                </c:pt>
                <c:pt idx="6">
                  <c:v>7.6803771200152186E-3</c:v>
                </c:pt>
                <c:pt idx="7">
                  <c:v>1.0788133267133428E-2</c:v>
                </c:pt>
                <c:pt idx="8">
                  <c:v>1.515339905460272E-2</c:v>
                </c:pt>
                <c:pt idx="9">
                  <c:v>2.1285008001115432E-2</c:v>
                </c:pt>
                <c:pt idx="10">
                  <c:v>2.9897685923471889E-2</c:v>
                </c:pt>
                <c:pt idx="11">
                  <c:v>4.199536234760759E-2</c:v>
                </c:pt>
                <c:pt idx="12">
                  <c:v>5.8988192705653267E-2</c:v>
                </c:pt>
                <c:pt idx="13">
                  <c:v>8.2856931912566628E-2</c:v>
                </c:pt>
                <c:pt idx="14">
                  <c:v>0.11638381938943097</c:v>
                </c:pt>
                <c:pt idx="15">
                  <c:v>0.16347688845110783</c:v>
                </c:pt>
                <c:pt idx="16">
                  <c:v>0.22962550290803457</c:v>
                </c:pt>
                <c:pt idx="17">
                  <c:v>0.32254022012131389</c:v>
                </c:pt>
                <c:pt idx="18">
                  <c:v>0.45305156560754795</c:v>
                </c:pt>
                <c:pt idx="19">
                  <c:v>0.63637248409593539</c:v>
                </c:pt>
                <c:pt idx="20">
                  <c:v>0.8938716235785692</c:v>
                </c:pt>
                <c:pt idx="21">
                  <c:v>1.2555641537111688</c:v>
                </c:pt>
                <c:pt idx="22">
                  <c:v>1.7636104587068566</c:v>
                </c:pt>
                <c:pt idx="23">
                  <c:v>2.4772305269044117</c:v>
                </c:pt>
                <c:pt idx="24">
                  <c:v>3.4796068786792853</c:v>
                </c:pt>
                <c:pt idx="25">
                  <c:v>4.8875806666576711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B-4DE4-B968-555BA500D93D}"/>
            </c:ext>
          </c:extLst>
        </c:ser>
        <c:ser>
          <c:idx val="6"/>
          <c:order val="6"/>
          <c:tx>
            <c:strRef>
              <c:f>'Cumulative Carbon Calculations'!$M$3</c:f>
              <c:strCache>
                <c:ptCount val="1"/>
                <c:pt idx="0">
                  <c:v>HM Implementation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'Cumulative Carbon Calculations'!$M$4:$M$29</c:f>
              <c:numCache>
                <c:formatCode>0.00</c:formatCode>
                <c:ptCount val="26"/>
                <c:pt idx="0">
                  <c:v>1E-3</c:v>
                </c:pt>
                <c:pt idx="1">
                  <c:v>0.84217332820087865</c:v>
                </c:pt>
                <c:pt idx="2">
                  <c:v>1.4530278615944152</c:v>
                </c:pt>
                <c:pt idx="3">
                  <c:v>1.8960996717223559</c:v>
                </c:pt>
                <c:pt idx="4">
                  <c:v>2.217473449272072</c:v>
                </c:pt>
                <c:pt idx="5">
                  <c:v>2.4505758551027448</c:v>
                </c:pt>
                <c:pt idx="6">
                  <c:v>2.6196522869707497</c:v>
                </c:pt>
                <c:pt idx="7">
                  <c:v>2.7422886866738985</c:v>
                </c:pt>
                <c:pt idx="8">
                  <c:v>2.8312406852817928</c:v>
                </c:pt>
                <c:pt idx="9">
                  <c:v>2.8957603391161482</c:v>
                </c:pt>
                <c:pt idx="10">
                  <c:v>2.9425584526611277</c:v>
                </c:pt>
                <c:pt idx="11">
                  <c:v>2.9765025813291368</c:v>
                </c:pt>
                <c:pt idx="12">
                  <c:v>3.0011233145970051</c:v>
                </c:pt>
                <c:pt idx="13">
                  <c:v>3.0189814989262094</c:v>
                </c:pt>
                <c:pt idx="14">
                  <c:v>3.0319345959792536</c:v>
                </c:pt>
                <c:pt idx="15">
                  <c:v>3.0413298805262508</c:v>
                </c:pt>
                <c:pt idx="16">
                  <c:v>3.0481445729011756</c:v>
                </c:pt>
                <c:pt idx="17">
                  <c:v>3.0530874814349782</c:v>
                </c:pt>
                <c:pt idx="18">
                  <c:v>3.0566727268766418</c:v>
                </c:pt>
                <c:pt idx="19">
                  <c:v>3.059273217010956</c:v>
                </c:pt>
                <c:pt idx="20">
                  <c:v>3.0611594334635526</c:v>
                </c:pt>
                <c:pt idx="21">
                  <c:v>3.062527564978109</c:v>
                </c:pt>
                <c:pt idx="22">
                  <c:v>3.0635199133581401</c:v>
                </c:pt>
                <c:pt idx="23">
                  <c:v>3.0642396945318593</c:v>
                </c:pt>
                <c:pt idx="24">
                  <c:v>3.0647617742253082</c:v>
                </c:pt>
                <c:pt idx="25">
                  <c:v>3.0651404548802952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CB-4DE4-B968-555BA500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336248"/>
        <c:axId val="511334280"/>
      </c:lineChart>
      <c:catAx>
        <c:axId val="511336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1334280"/>
        <c:crosses val="autoZero"/>
        <c:auto val="1"/>
        <c:lblAlgn val="ctr"/>
        <c:lblOffset val="100"/>
        <c:noMultiLvlLbl val="0"/>
      </c:catAx>
      <c:valAx>
        <c:axId val="51133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Carbon Dioxide</a:t>
                </a:r>
                <a:r>
                  <a:rPr lang="en-GB" sz="1400" baseline="0"/>
                  <a:t> Emissions (Mt CO2eq)</a:t>
                </a:r>
                <a:endParaRPr lang="en-GB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36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118648</xdr:colOff>
      <xdr:row>18</xdr:row>
      <xdr:rowOff>83870</xdr:rowOff>
    </xdr:from>
    <xdr:to>
      <xdr:col>9</xdr:col>
      <xdr:colOff>3291634</xdr:colOff>
      <xdr:row>37</xdr:row>
      <xdr:rowOff>25919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61513</xdr:colOff>
      <xdr:row>41</xdr:row>
      <xdr:rowOff>44699</xdr:rowOff>
    </xdr:from>
    <xdr:to>
      <xdr:col>10</xdr:col>
      <xdr:colOff>1948393</xdr:colOff>
      <xdr:row>61</xdr:row>
      <xdr:rowOff>43919</xdr:rowOff>
    </xdr:to>
    <xdr:grpSp>
      <xdr:nvGrpSpPr>
        <xdr:cNvPr id="2" name="Group 1"/>
        <xdr:cNvGrpSpPr/>
      </xdr:nvGrpSpPr>
      <xdr:grpSpPr>
        <a:xfrm>
          <a:off x="24628076" y="7831387"/>
          <a:ext cx="4482442" cy="3817157"/>
          <a:chOff x="27790832" y="7804125"/>
          <a:chExt cx="6820887" cy="3654016"/>
        </a:xfrm>
      </xdr:grpSpPr>
      <xdr:graphicFrame macro="">
        <xdr:nvGraphicFramePr>
          <xdr:cNvPr id="6" name="Chart 5"/>
          <xdr:cNvGraphicFramePr/>
        </xdr:nvGraphicFramePr>
        <xdr:xfrm>
          <a:off x="27794680" y="7804125"/>
          <a:ext cx="6808407" cy="36512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Chart 6"/>
          <xdr:cNvGraphicFramePr>
            <a:graphicFrameLocks/>
          </xdr:cNvGraphicFramePr>
        </xdr:nvGraphicFramePr>
        <xdr:xfrm>
          <a:off x="27790832" y="7809313"/>
          <a:ext cx="6820887" cy="36488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8</xdr:col>
      <xdr:colOff>85883</xdr:colOff>
      <xdr:row>16</xdr:row>
      <xdr:rowOff>119544</xdr:rowOff>
    </xdr:from>
    <xdr:to>
      <xdr:col>12</xdr:col>
      <xdr:colOff>357098</xdr:colOff>
      <xdr:row>39</xdr:row>
      <xdr:rowOff>119387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329936</xdr:colOff>
      <xdr:row>17</xdr:row>
      <xdr:rowOff>140964</xdr:rowOff>
    </xdr:from>
    <xdr:to>
      <xdr:col>13</xdr:col>
      <xdr:colOff>248356</xdr:colOff>
      <xdr:row>59</xdr:row>
      <xdr:rowOff>105833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316793</xdr:colOff>
      <xdr:row>17</xdr:row>
      <xdr:rowOff>149578</xdr:rowOff>
    </xdr:from>
    <xdr:to>
      <xdr:col>13</xdr:col>
      <xdr:colOff>253999</xdr:colOff>
      <xdr:row>59</xdr:row>
      <xdr:rowOff>97770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352191</xdr:colOff>
      <xdr:row>3</xdr:row>
      <xdr:rowOff>184231</xdr:rowOff>
    </xdr:from>
    <xdr:to>
      <xdr:col>23</xdr:col>
      <xdr:colOff>36286</xdr:colOff>
      <xdr:row>26</xdr:row>
      <xdr:rowOff>163286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ourworldindata.org/grapher/carbon-intensity-electricity" TargetMode="External"/><Relationship Id="rId2" Type="http://schemas.openxmlformats.org/officeDocument/2006/relationships/hyperlink" Target="https://www.iea.org/data-and-statistics/charts/thermal-specific-energy-consumption-per-tonne-of-clinker-in-selected-countries-and-regions-2018" TargetMode="External"/><Relationship Id="rId1" Type="http://schemas.openxmlformats.org/officeDocument/2006/relationships/hyperlink" Target="https://www.iea.org/data-and-statistics/charts/global-thermal-energy-intensity-of-clinker-production-by-fuel-in-the-net-zero-scenario-2010-203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ourworldindata.org/grapher/carbon-intensity-electricity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zoomScale="84" workbookViewId="0">
      <selection activeCell="A2" sqref="A2:U2"/>
    </sheetView>
  </sheetViews>
  <sheetFormatPr defaultRowHeight="14.5" x14ac:dyDescent="0.35"/>
  <cols>
    <col min="1" max="1" width="33.6328125" customWidth="1"/>
    <col min="2" max="2" width="31.81640625" customWidth="1"/>
  </cols>
  <sheetData>
    <row r="1" spans="1:21" ht="15" thickBot="1" x14ac:dyDescent="0.4"/>
    <row r="2" spans="1:21" ht="70" customHeight="1" x14ac:dyDescent="0.35">
      <c r="A2" s="221" t="s">
        <v>331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3"/>
    </row>
    <row r="3" spans="1:21" x14ac:dyDescent="0.35">
      <c r="A3" s="213" t="s">
        <v>318</v>
      </c>
      <c r="B3" s="220" t="s">
        <v>324</v>
      </c>
      <c r="C3" s="220"/>
      <c r="D3" s="220"/>
      <c r="E3" s="220"/>
      <c r="F3" s="220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5"/>
    </row>
    <row r="4" spans="1:21" x14ac:dyDescent="0.35">
      <c r="A4" s="213" t="s">
        <v>319</v>
      </c>
      <c r="B4" s="214" t="s">
        <v>325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5"/>
    </row>
    <row r="5" spans="1:21" x14ac:dyDescent="0.35">
      <c r="A5" s="213" t="s">
        <v>320</v>
      </c>
      <c r="B5" s="214" t="s">
        <v>326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5"/>
    </row>
    <row r="6" spans="1:21" x14ac:dyDescent="0.35">
      <c r="A6" s="213" t="s">
        <v>321</v>
      </c>
      <c r="B6" s="214" t="s">
        <v>327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5"/>
    </row>
    <row r="7" spans="1:21" x14ac:dyDescent="0.35">
      <c r="A7" s="213" t="s">
        <v>322</v>
      </c>
      <c r="B7" s="214" t="s">
        <v>328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5"/>
    </row>
    <row r="8" spans="1:21" ht="15" thickBot="1" x14ac:dyDescent="0.4">
      <c r="A8" s="216" t="s">
        <v>323</v>
      </c>
      <c r="B8" s="217" t="s">
        <v>329</v>
      </c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8"/>
    </row>
  </sheetData>
  <mergeCells count="2">
    <mergeCell ref="B3:F3"/>
    <mergeCell ref="A2:U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zoomScale="90" zoomScaleNormal="90" workbookViewId="0">
      <selection activeCell="B41" sqref="B41"/>
    </sheetView>
  </sheetViews>
  <sheetFormatPr defaultRowHeight="14.5" x14ac:dyDescent="0.35"/>
  <cols>
    <col min="1" max="1" width="56.7265625" bestFit="1" customWidth="1"/>
    <col min="2" max="2" width="65.453125" customWidth="1"/>
    <col min="3" max="3" width="87.7265625" bestFit="1" customWidth="1"/>
    <col min="5" max="5" width="8.7265625" customWidth="1"/>
    <col min="6" max="6" width="41.26953125" customWidth="1"/>
    <col min="7" max="7" width="21.26953125" customWidth="1"/>
    <col min="8" max="8" width="18.453125" customWidth="1"/>
  </cols>
  <sheetData>
    <row r="2" spans="1:3" ht="18.5" x14ac:dyDescent="0.45">
      <c r="A2" s="227" t="s">
        <v>24</v>
      </c>
      <c r="B2" s="227"/>
      <c r="C2" s="227"/>
    </row>
    <row r="3" spans="1:3" x14ac:dyDescent="0.35">
      <c r="A3" s="25" t="s">
        <v>0</v>
      </c>
      <c r="B3" s="25" t="s">
        <v>191</v>
      </c>
      <c r="C3" s="25" t="s">
        <v>1</v>
      </c>
    </row>
    <row r="4" spans="1:3" x14ac:dyDescent="0.35">
      <c r="A4" s="13" t="s">
        <v>196</v>
      </c>
      <c r="B4" s="50">
        <f>B5+B6</f>
        <v>10.741400000000001</v>
      </c>
      <c r="C4" s="141" t="s">
        <v>280</v>
      </c>
    </row>
    <row r="5" spans="1:3" x14ac:dyDescent="0.35">
      <c r="A5" s="144" t="s">
        <v>251</v>
      </c>
      <c r="B5" s="145">
        <v>7.16</v>
      </c>
      <c r="C5" s="231" t="s">
        <v>280</v>
      </c>
    </row>
    <row r="6" spans="1:3" x14ac:dyDescent="0.35">
      <c r="A6" s="144" t="s">
        <v>250</v>
      </c>
      <c r="B6" s="145">
        <f>(B11*0.9)+0.3</f>
        <v>3.5813999999999999</v>
      </c>
      <c r="C6" s="232"/>
    </row>
    <row r="7" spans="1:3" x14ac:dyDescent="0.35">
      <c r="A7" s="24" t="s">
        <v>10</v>
      </c>
      <c r="B7" s="118">
        <f>B9+B12</f>
        <v>15.283999999999999</v>
      </c>
      <c r="C7" s="24" t="s">
        <v>280</v>
      </c>
    </row>
    <row r="8" spans="1:3" x14ac:dyDescent="0.35">
      <c r="A8" s="8" t="s">
        <v>247</v>
      </c>
      <c r="B8" s="43">
        <f>B9-B4</f>
        <v>1.2685999999999993</v>
      </c>
      <c r="C8" s="228" t="s">
        <v>280</v>
      </c>
    </row>
    <row r="9" spans="1:3" x14ac:dyDescent="0.35">
      <c r="A9" s="8" t="s">
        <v>3</v>
      </c>
      <c r="B9" s="43">
        <v>12.01</v>
      </c>
      <c r="C9" s="229"/>
    </row>
    <row r="10" spans="1:3" x14ac:dyDescent="0.35">
      <c r="A10" s="8" t="s">
        <v>4</v>
      </c>
      <c r="B10" s="43">
        <v>8.3640000000000008</v>
      </c>
      <c r="C10" s="229"/>
    </row>
    <row r="11" spans="1:3" x14ac:dyDescent="0.35">
      <c r="A11" s="8" t="s">
        <v>5</v>
      </c>
      <c r="B11" s="43">
        <f>3646/1000</f>
        <v>3.6459999999999999</v>
      </c>
      <c r="C11" s="229"/>
    </row>
    <row r="12" spans="1:3" x14ac:dyDescent="0.35">
      <c r="A12" s="8" t="s">
        <v>6</v>
      </c>
      <c r="B12" s="43">
        <v>3.274</v>
      </c>
      <c r="C12" s="230"/>
    </row>
    <row r="13" spans="1:3" x14ac:dyDescent="0.35">
      <c r="A13" s="8" t="s">
        <v>7</v>
      </c>
      <c r="B13" s="43">
        <v>2.6</v>
      </c>
      <c r="C13" s="8" t="s">
        <v>8</v>
      </c>
    </row>
    <row r="14" spans="1:3" x14ac:dyDescent="0.35">
      <c r="A14" s="8" t="s">
        <v>9</v>
      </c>
      <c r="B14" s="43">
        <v>0.14499999999999999</v>
      </c>
      <c r="C14" s="8" t="s">
        <v>21</v>
      </c>
    </row>
    <row r="15" spans="1:3" x14ac:dyDescent="0.35">
      <c r="A15" s="8" t="s">
        <v>72</v>
      </c>
      <c r="B15" s="43">
        <f>B12-B13-B14</f>
        <v>0.52899999999999991</v>
      </c>
      <c r="C15" s="8" t="s">
        <v>280</v>
      </c>
    </row>
    <row r="16" spans="1:3" x14ac:dyDescent="0.35">
      <c r="A16" s="15" t="s">
        <v>25</v>
      </c>
      <c r="B16" s="51">
        <v>87.4</v>
      </c>
      <c r="C16" s="15" t="s">
        <v>18</v>
      </c>
    </row>
    <row r="17" spans="1:6" x14ac:dyDescent="0.35">
      <c r="A17" s="11" t="s">
        <v>11</v>
      </c>
      <c r="B17" s="41">
        <f>B7-B18</f>
        <v>3.0567999999999991</v>
      </c>
      <c r="C17" s="11" t="s">
        <v>281</v>
      </c>
    </row>
    <row r="18" spans="1:6" x14ac:dyDescent="0.35">
      <c r="A18" s="11" t="s">
        <v>12</v>
      </c>
      <c r="B18" s="41">
        <f>B7*0.8</f>
        <v>12.2272</v>
      </c>
      <c r="C18" s="11" t="s">
        <v>281</v>
      </c>
    </row>
    <row r="19" spans="1:6" x14ac:dyDescent="0.35">
      <c r="A19" s="11" t="s">
        <v>13</v>
      </c>
      <c r="B19" s="41">
        <f>B16-B18-B20-B21</f>
        <v>68.936928000000009</v>
      </c>
      <c r="C19" s="11" t="s">
        <v>36</v>
      </c>
    </row>
    <row r="20" spans="1:6" x14ac:dyDescent="0.35">
      <c r="A20" s="11" t="s">
        <v>14</v>
      </c>
      <c r="B20" s="41">
        <f>B18*0.5</f>
        <v>6.1135999999999999</v>
      </c>
      <c r="C20" s="11" t="s">
        <v>15</v>
      </c>
    </row>
    <row r="21" spans="1:6" x14ac:dyDescent="0.35">
      <c r="A21" s="11" t="s">
        <v>16</v>
      </c>
      <c r="B21" s="41">
        <f>B18*0.01</f>
        <v>0.12227200000000001</v>
      </c>
      <c r="C21" s="11" t="s">
        <v>17</v>
      </c>
    </row>
    <row r="22" spans="1:6" x14ac:dyDescent="0.35">
      <c r="A22" s="22" t="s">
        <v>19</v>
      </c>
      <c r="B22" s="52">
        <v>50.7</v>
      </c>
      <c r="C22" s="22" t="s">
        <v>281</v>
      </c>
    </row>
    <row r="23" spans="1:6" x14ac:dyDescent="0.35">
      <c r="A23" s="10" t="s">
        <v>20</v>
      </c>
      <c r="B23" s="44">
        <v>36.700000000000003</v>
      </c>
      <c r="C23" s="10" t="s">
        <v>281</v>
      </c>
    </row>
    <row r="25" spans="1:6" ht="18.5" x14ac:dyDescent="0.45">
      <c r="A25" s="224" t="s">
        <v>24</v>
      </c>
      <c r="B25" s="225"/>
    </row>
    <row r="26" spans="1:6" x14ac:dyDescent="0.35">
      <c r="A26" s="140" t="s">
        <v>0</v>
      </c>
      <c r="B26" s="140" t="s">
        <v>191</v>
      </c>
    </row>
    <row r="27" spans="1:6" x14ac:dyDescent="0.35">
      <c r="A27" s="54" t="s">
        <v>169</v>
      </c>
      <c r="B27" s="25">
        <v>2022</v>
      </c>
    </row>
    <row r="28" spans="1:6" x14ac:dyDescent="0.35">
      <c r="A28" s="12" t="s">
        <v>2</v>
      </c>
      <c r="B28" s="145">
        <f>B4</f>
        <v>10.741400000000001</v>
      </c>
    </row>
    <row r="29" spans="1:6" x14ac:dyDescent="0.35">
      <c r="A29" s="23" t="s">
        <v>10</v>
      </c>
      <c r="B29" s="165">
        <f>B7</f>
        <v>15.283999999999999</v>
      </c>
      <c r="E29" s="26"/>
      <c r="F29" s="26"/>
    </row>
    <row r="30" spans="1:6" x14ac:dyDescent="0.35">
      <c r="A30" s="14" t="s">
        <v>25</v>
      </c>
      <c r="B30" s="156">
        <f>B16</f>
        <v>87.4</v>
      </c>
    </row>
    <row r="31" spans="1:6" x14ac:dyDescent="0.35">
      <c r="A31" s="48" t="s">
        <v>195</v>
      </c>
      <c r="B31" s="166">
        <f>B22</f>
        <v>50.7</v>
      </c>
    </row>
    <row r="34" spans="1:2" x14ac:dyDescent="0.35">
      <c r="A34" s="226" t="s">
        <v>183</v>
      </c>
      <c r="B34" s="226"/>
    </row>
    <row r="35" spans="1:2" x14ac:dyDescent="0.35">
      <c r="A35" s="7" t="s">
        <v>180</v>
      </c>
      <c r="B35" s="3">
        <v>1</v>
      </c>
    </row>
    <row r="36" spans="1:2" x14ac:dyDescent="0.35">
      <c r="A36" s="6" t="s">
        <v>181</v>
      </c>
      <c r="B36" s="3">
        <f>B18/B7</f>
        <v>0.8</v>
      </c>
    </row>
    <row r="37" spans="1:2" x14ac:dyDescent="0.35">
      <c r="A37" s="9" t="s">
        <v>182</v>
      </c>
      <c r="B37" s="3">
        <f>B22/B16</f>
        <v>0.580091533180778</v>
      </c>
    </row>
  </sheetData>
  <mergeCells count="5">
    <mergeCell ref="A25:B25"/>
    <mergeCell ref="A34:B34"/>
    <mergeCell ref="A2:C2"/>
    <mergeCell ref="C8:C12"/>
    <mergeCell ref="C5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4"/>
  <sheetViews>
    <sheetView topLeftCell="F7" zoomScale="60" zoomScaleNormal="60" workbookViewId="0">
      <selection activeCell="G18" sqref="G18"/>
    </sheetView>
  </sheetViews>
  <sheetFormatPr defaultColWidth="9.26953125" defaultRowHeight="15.5" x14ac:dyDescent="0.35"/>
  <cols>
    <col min="1" max="1" width="9.26953125" style="55"/>
    <col min="2" max="2" width="46.54296875" style="55" customWidth="1"/>
    <col min="3" max="3" width="44" style="55" customWidth="1"/>
    <col min="4" max="4" width="43.6328125" style="55" customWidth="1"/>
    <col min="5" max="5" width="46.08984375" style="55" customWidth="1"/>
    <col min="6" max="6" width="52.6328125" style="55" customWidth="1"/>
    <col min="7" max="7" width="44.26953125" style="55" customWidth="1"/>
    <col min="8" max="8" width="55.54296875" style="55" bestFit="1" customWidth="1"/>
    <col min="9" max="9" width="16.26953125" style="55" customWidth="1"/>
    <col min="10" max="10" width="49.54296875" style="55" customWidth="1"/>
    <col min="11" max="11" width="28.54296875" style="55" customWidth="1"/>
    <col min="12" max="12" width="35.54296875" style="55" customWidth="1"/>
    <col min="13" max="13" width="28.453125" style="55" customWidth="1"/>
    <col min="14" max="14" width="27.54296875" style="55" customWidth="1"/>
    <col min="15" max="15" width="17.453125" style="55" customWidth="1"/>
    <col min="16" max="16" width="19.26953125" style="55" customWidth="1"/>
    <col min="17" max="17" width="15" style="55" customWidth="1"/>
    <col min="18" max="18" width="9.26953125" style="55"/>
    <col min="19" max="19" width="33.54296875" style="55" customWidth="1"/>
    <col min="20" max="20" width="37.7265625" style="55" customWidth="1"/>
    <col min="21" max="16384" width="9.26953125" style="55"/>
  </cols>
  <sheetData>
    <row r="1" spans="2:20" ht="16" thickBot="1" x14ac:dyDescent="0.4">
      <c r="E1" s="234" t="s">
        <v>26</v>
      </c>
      <c r="F1" s="235"/>
      <c r="G1" s="234" t="s">
        <v>27</v>
      </c>
      <c r="H1" s="235"/>
      <c r="I1" s="234" t="s">
        <v>92</v>
      </c>
      <c r="J1" s="235"/>
    </row>
    <row r="2" spans="2:20" x14ac:dyDescent="0.35">
      <c r="B2" s="56" t="s">
        <v>28</v>
      </c>
      <c r="C2" s="56" t="s">
        <v>29</v>
      </c>
      <c r="D2" s="57" t="s">
        <v>30</v>
      </c>
      <c r="E2" s="58" t="s">
        <v>31</v>
      </c>
      <c r="F2" s="59" t="s">
        <v>23</v>
      </c>
      <c r="G2" s="58" t="s">
        <v>31</v>
      </c>
      <c r="H2" s="59" t="s">
        <v>23</v>
      </c>
      <c r="I2" s="58" t="s">
        <v>31</v>
      </c>
      <c r="J2" s="59" t="s">
        <v>23</v>
      </c>
      <c r="T2" s="60"/>
    </row>
    <row r="3" spans="2:20" x14ac:dyDescent="0.35">
      <c r="B3" s="233" t="s">
        <v>94</v>
      </c>
      <c r="C3" s="61" t="s">
        <v>73</v>
      </c>
      <c r="D3" s="62" t="s">
        <v>51</v>
      </c>
      <c r="E3" s="63">
        <v>0.49</v>
      </c>
      <c r="F3" s="64" t="s">
        <v>74</v>
      </c>
      <c r="G3" s="105">
        <v>0.49</v>
      </c>
      <c r="H3" s="64" t="s">
        <v>74</v>
      </c>
      <c r="I3" s="105">
        <v>0.49</v>
      </c>
      <c r="J3" s="64" t="s">
        <v>74</v>
      </c>
    </row>
    <row r="4" spans="2:20" x14ac:dyDescent="0.35">
      <c r="B4" s="233"/>
      <c r="C4" s="61" t="s">
        <v>75</v>
      </c>
      <c r="D4" s="62" t="s">
        <v>76</v>
      </c>
      <c r="E4" s="63">
        <v>3.7</v>
      </c>
      <c r="F4" s="64" t="s">
        <v>91</v>
      </c>
      <c r="G4" s="105">
        <v>3.55</v>
      </c>
      <c r="H4" s="65" t="s">
        <v>90</v>
      </c>
      <c r="I4" s="105">
        <v>3</v>
      </c>
      <c r="J4" s="107" t="s">
        <v>197</v>
      </c>
    </row>
    <row r="5" spans="2:20" x14ac:dyDescent="0.35">
      <c r="B5" s="233"/>
      <c r="C5" s="61" t="s">
        <v>77</v>
      </c>
      <c r="D5" s="62" t="s">
        <v>78</v>
      </c>
      <c r="E5" s="63">
        <v>7.0000000000000007E-2</v>
      </c>
      <c r="F5" s="66" t="s">
        <v>79</v>
      </c>
      <c r="G5" s="105">
        <v>8.7999999999999995E-2</v>
      </c>
      <c r="H5" s="66" t="s">
        <v>79</v>
      </c>
      <c r="I5" s="211">
        <v>5.8000000000000003E-2</v>
      </c>
      <c r="J5" s="66" t="s">
        <v>91</v>
      </c>
    </row>
    <row r="6" spans="2:20" x14ac:dyDescent="0.35">
      <c r="B6" s="238" t="s">
        <v>95</v>
      </c>
      <c r="C6" s="67" t="s">
        <v>71</v>
      </c>
      <c r="D6" s="68" t="s">
        <v>51</v>
      </c>
      <c r="E6" s="69" t="s">
        <v>35</v>
      </c>
      <c r="F6" s="70" t="s">
        <v>36</v>
      </c>
      <c r="G6" s="72" t="s">
        <v>35</v>
      </c>
      <c r="H6" s="70" t="s">
        <v>36</v>
      </c>
      <c r="I6" s="72" t="s">
        <v>35</v>
      </c>
      <c r="J6" s="70" t="s">
        <v>36</v>
      </c>
    </row>
    <row r="7" spans="2:20" x14ac:dyDescent="0.35">
      <c r="B7" s="238"/>
      <c r="C7" s="67" t="s">
        <v>58</v>
      </c>
      <c r="D7" s="68" t="s">
        <v>35</v>
      </c>
      <c r="E7" s="72">
        <v>0.7</v>
      </c>
      <c r="F7" s="158" t="s">
        <v>36</v>
      </c>
      <c r="G7" s="72">
        <v>0.71</v>
      </c>
      <c r="H7" s="71" t="s">
        <v>59</v>
      </c>
      <c r="I7" s="72">
        <v>0.5</v>
      </c>
      <c r="J7" s="71" t="s">
        <v>70</v>
      </c>
    </row>
    <row r="8" spans="2:20" x14ac:dyDescent="0.35">
      <c r="B8" s="238"/>
      <c r="C8" s="67" t="s">
        <v>61</v>
      </c>
      <c r="D8" s="68" t="s">
        <v>51</v>
      </c>
      <c r="E8" s="72">
        <f>'Supplementary Calculations'!F15</f>
        <v>0.13117470983506416</v>
      </c>
      <c r="F8" s="158" t="s">
        <v>286</v>
      </c>
      <c r="G8" s="72">
        <f>'Supplementary Calculations'!F9</f>
        <v>0.12539340256566892</v>
      </c>
      <c r="H8" s="71" t="s">
        <v>330</v>
      </c>
      <c r="I8" s="72">
        <f>'Supplementary Calculations'!F23</f>
        <v>7.9499999999999987E-2</v>
      </c>
      <c r="J8" s="71" t="s">
        <v>198</v>
      </c>
    </row>
    <row r="9" spans="2:20" x14ac:dyDescent="0.35">
      <c r="B9" s="238"/>
      <c r="C9" s="67" t="s">
        <v>64</v>
      </c>
      <c r="D9" s="68" t="s">
        <v>65</v>
      </c>
      <c r="E9" s="69">
        <v>0.11</v>
      </c>
      <c r="F9" s="70" t="s">
        <v>79</v>
      </c>
      <c r="G9" s="72">
        <v>0.1</v>
      </c>
      <c r="H9" s="70" t="s">
        <v>59</v>
      </c>
      <c r="I9" s="72">
        <v>9.7000000000000003E-2</v>
      </c>
      <c r="J9" s="70" t="s">
        <v>66</v>
      </c>
    </row>
    <row r="10" spans="2:20" x14ac:dyDescent="0.35">
      <c r="B10" s="238"/>
      <c r="C10" s="67" t="s">
        <v>68</v>
      </c>
      <c r="D10" s="68" t="s">
        <v>69</v>
      </c>
      <c r="E10" s="69">
        <v>0.2</v>
      </c>
      <c r="F10" s="70">
        <v>0.2</v>
      </c>
      <c r="G10" s="72">
        <v>0.438</v>
      </c>
      <c r="H10" s="73" t="s">
        <v>89</v>
      </c>
      <c r="I10" s="212">
        <v>4.1000000000000002E-2</v>
      </c>
      <c r="J10" s="73" t="s">
        <v>89</v>
      </c>
    </row>
    <row r="11" spans="2:20" x14ac:dyDescent="0.35">
      <c r="B11" s="237" t="s">
        <v>32</v>
      </c>
      <c r="C11" s="74" t="s">
        <v>57</v>
      </c>
      <c r="D11" s="75" t="s">
        <v>51</v>
      </c>
      <c r="E11" s="76" t="s">
        <v>35</v>
      </c>
      <c r="F11" s="77" t="s">
        <v>36</v>
      </c>
      <c r="G11" s="78" t="s">
        <v>35</v>
      </c>
      <c r="H11" s="77" t="s">
        <v>36</v>
      </c>
      <c r="I11" s="78" t="s">
        <v>35</v>
      </c>
      <c r="J11" s="77" t="s">
        <v>36</v>
      </c>
    </row>
    <row r="12" spans="2:20" x14ac:dyDescent="0.35">
      <c r="B12" s="237"/>
      <c r="C12" s="74" t="s">
        <v>53</v>
      </c>
      <c r="D12" s="75" t="s">
        <v>51</v>
      </c>
      <c r="E12" s="76">
        <v>7.0000000000000001E-3</v>
      </c>
      <c r="F12" s="77" t="s">
        <v>54</v>
      </c>
      <c r="G12" s="210">
        <f>'Supplementary Calculations'!F31</f>
        <v>6.2647916666666676E-3</v>
      </c>
      <c r="H12" s="77" t="s">
        <v>62</v>
      </c>
      <c r="I12" s="210">
        <f>G12</f>
        <v>6.2647916666666676E-3</v>
      </c>
      <c r="J12" s="77" t="s">
        <v>62</v>
      </c>
    </row>
    <row r="13" spans="2:20" x14ac:dyDescent="0.35">
      <c r="B13" s="237"/>
      <c r="C13" s="74" t="s">
        <v>55</v>
      </c>
      <c r="D13" s="75" t="s">
        <v>56</v>
      </c>
      <c r="E13" s="76">
        <v>0.14000000000000001</v>
      </c>
      <c r="F13" s="77" t="s">
        <v>236</v>
      </c>
      <c r="G13" s="78">
        <f>4.3/30</f>
        <v>0.14333333333333334</v>
      </c>
      <c r="H13" s="77" t="s">
        <v>88</v>
      </c>
      <c r="I13" s="78">
        <f>'Supplementary Calculations'!D53</f>
        <v>0.121</v>
      </c>
      <c r="J13" s="77" t="s">
        <v>93</v>
      </c>
    </row>
    <row r="14" spans="2:20" x14ac:dyDescent="0.35">
      <c r="B14" s="239" t="s">
        <v>22</v>
      </c>
      <c r="C14" s="79" t="s">
        <v>50</v>
      </c>
      <c r="D14" s="80" t="s">
        <v>51</v>
      </c>
      <c r="E14" s="81" t="s">
        <v>35</v>
      </c>
      <c r="F14" s="82" t="s">
        <v>36</v>
      </c>
      <c r="G14" s="96" t="s">
        <v>35</v>
      </c>
      <c r="H14" s="82" t="s">
        <v>36</v>
      </c>
      <c r="I14" s="96" t="s">
        <v>35</v>
      </c>
      <c r="J14" s="82" t="s">
        <v>36</v>
      </c>
    </row>
    <row r="15" spans="2:20" x14ac:dyDescent="0.35">
      <c r="B15" s="239"/>
      <c r="C15" s="79" t="s">
        <v>33</v>
      </c>
      <c r="D15" s="80" t="s">
        <v>34</v>
      </c>
      <c r="E15" s="81" t="s">
        <v>35</v>
      </c>
      <c r="F15" s="82" t="s">
        <v>36</v>
      </c>
      <c r="G15" s="96" t="s">
        <v>35</v>
      </c>
      <c r="H15" s="82" t="s">
        <v>36</v>
      </c>
      <c r="I15" s="96" t="s">
        <v>35</v>
      </c>
      <c r="J15" s="82" t="s">
        <v>36</v>
      </c>
    </row>
    <row r="16" spans="2:20" x14ac:dyDescent="0.35">
      <c r="B16" s="239"/>
      <c r="C16" s="79" t="s">
        <v>40</v>
      </c>
      <c r="D16" s="80" t="s">
        <v>259</v>
      </c>
      <c r="E16" s="96">
        <f>E17*E18/1000/0.58*0.42</f>
        <v>36.713793103448275</v>
      </c>
      <c r="F16" s="236" t="s">
        <v>41</v>
      </c>
      <c r="G16" s="96">
        <f>G17*G18/1000/0.58*0.42</f>
        <v>34.425059642195066</v>
      </c>
      <c r="H16" s="236" t="s">
        <v>41</v>
      </c>
      <c r="I16" s="96">
        <f>E16</f>
        <v>36.713793103448275</v>
      </c>
      <c r="J16" s="236" t="s">
        <v>41</v>
      </c>
      <c r="K16" s="114"/>
    </row>
    <row r="17" spans="2:10" x14ac:dyDescent="0.35">
      <c r="B17" s="239"/>
      <c r="C17" s="79" t="s">
        <v>44</v>
      </c>
      <c r="D17" s="80" t="s">
        <v>45</v>
      </c>
      <c r="E17" s="97">
        <f>'Material Flow Analysis'!B22/'Carbon Intensity'!E18*1000</f>
        <v>48.116769309025294</v>
      </c>
      <c r="F17" s="236"/>
      <c r="G17" s="96">
        <f>E17</f>
        <v>48.116769309025294</v>
      </c>
      <c r="H17" s="236"/>
      <c r="I17" s="96">
        <f>E17</f>
        <v>48.116769309025294</v>
      </c>
      <c r="J17" s="236"/>
    </row>
    <row r="18" spans="2:10" ht="16" thickBot="1" x14ac:dyDescent="0.4">
      <c r="B18" s="239"/>
      <c r="C18" s="79" t="s">
        <v>48</v>
      </c>
      <c r="D18" s="80" t="s">
        <v>49</v>
      </c>
      <c r="E18" s="110">
        <f>'Supplementary Calculations'!B60</f>
        <v>1053.686702745651</v>
      </c>
      <c r="F18" s="240"/>
      <c r="G18" s="167">
        <f>'Supplementary Calculations'!B69</f>
        <v>988</v>
      </c>
      <c r="H18" s="168" t="s">
        <v>36</v>
      </c>
      <c r="I18" s="110">
        <f>'Supplementary Calculations'!B61</f>
        <v>842.94936219652095</v>
      </c>
      <c r="J18" s="160" t="s">
        <v>36</v>
      </c>
    </row>
    <row r="19" spans="2:10" x14ac:dyDescent="0.35">
      <c r="D19" s="114"/>
    </row>
    <row r="20" spans="2:10" x14ac:dyDescent="0.35">
      <c r="B20" s="83" t="s">
        <v>109</v>
      </c>
      <c r="C20" s="242" t="s">
        <v>94</v>
      </c>
      <c r="D20" s="242"/>
      <c r="E20" s="242"/>
      <c r="F20" s="242"/>
    </row>
    <row r="21" spans="2:10" x14ac:dyDescent="0.35">
      <c r="B21" s="246" t="s">
        <v>111</v>
      </c>
      <c r="C21" s="84" t="s">
        <v>97</v>
      </c>
      <c r="D21" s="84" t="s">
        <v>99</v>
      </c>
      <c r="E21" s="84" t="s">
        <v>100</v>
      </c>
      <c r="F21" s="84" t="s">
        <v>101</v>
      </c>
    </row>
    <row r="22" spans="2:10" x14ac:dyDescent="0.35">
      <c r="B22" s="246"/>
      <c r="C22" s="84" t="s">
        <v>96</v>
      </c>
      <c r="D22" s="85">
        <f>E3</f>
        <v>0.49</v>
      </c>
      <c r="E22" s="89">
        <f>E4*E5</f>
        <v>0.25900000000000006</v>
      </c>
      <c r="F22" s="106">
        <f>D22+E22</f>
        <v>0.74900000000000011</v>
      </c>
    </row>
    <row r="23" spans="2:10" x14ac:dyDescent="0.35">
      <c r="B23" s="246"/>
      <c r="C23" s="84" t="s">
        <v>98</v>
      </c>
      <c r="D23" s="85">
        <f>G3</f>
        <v>0.49</v>
      </c>
      <c r="E23" s="89">
        <f>G4*G5</f>
        <v>0.31239999999999996</v>
      </c>
      <c r="F23" s="106">
        <f>D23+E23</f>
        <v>0.8024</v>
      </c>
    </row>
    <row r="24" spans="2:10" x14ac:dyDescent="0.35">
      <c r="B24" s="246"/>
      <c r="C24" s="84" t="s">
        <v>92</v>
      </c>
      <c r="D24" s="85">
        <f>I3</f>
        <v>0.49</v>
      </c>
      <c r="E24" s="89">
        <f>I4*I5</f>
        <v>0.17400000000000002</v>
      </c>
      <c r="F24" s="106">
        <f>D24+E24</f>
        <v>0.66400000000000003</v>
      </c>
    </row>
    <row r="26" spans="2:10" x14ac:dyDescent="0.35">
      <c r="B26" s="245" t="s">
        <v>110</v>
      </c>
      <c r="C26" s="243" t="s">
        <v>95</v>
      </c>
      <c r="D26" s="243"/>
      <c r="E26" s="243"/>
      <c r="F26" s="243"/>
      <c r="G26" s="243"/>
    </row>
    <row r="27" spans="2:10" x14ac:dyDescent="0.35">
      <c r="B27" s="245"/>
      <c r="C27" s="86" t="s">
        <v>97</v>
      </c>
      <c r="D27" s="86" t="s">
        <v>102</v>
      </c>
      <c r="E27" s="86" t="s">
        <v>103</v>
      </c>
      <c r="F27" s="86" t="s">
        <v>104</v>
      </c>
      <c r="G27" s="86" t="s">
        <v>105</v>
      </c>
    </row>
    <row r="28" spans="2:10" x14ac:dyDescent="0.35">
      <c r="B28" s="245"/>
      <c r="C28" s="86" t="s">
        <v>96</v>
      </c>
      <c r="D28" s="98">
        <f>E7*F22</f>
        <v>0.5243000000000001</v>
      </c>
      <c r="E28" s="98">
        <f>(E8*(1-E7))</f>
        <v>3.935241295051925E-2</v>
      </c>
      <c r="F28" s="98">
        <f>E10*E9</f>
        <v>2.2000000000000002E-2</v>
      </c>
      <c r="G28" s="99">
        <f>D28+E28+F28</f>
        <v>0.5856524129505194</v>
      </c>
    </row>
    <row r="29" spans="2:10" x14ac:dyDescent="0.35">
      <c r="B29" s="245"/>
      <c r="C29" s="86" t="s">
        <v>98</v>
      </c>
      <c r="D29" s="98">
        <f>G7*F23</f>
        <v>0.56970399999999999</v>
      </c>
      <c r="E29" s="98">
        <f>(G8*(1-G7))</f>
        <v>3.636408674404399E-2</v>
      </c>
      <c r="F29" s="98">
        <f>G10*G9</f>
        <v>4.3800000000000006E-2</v>
      </c>
      <c r="G29" s="99">
        <f>D29+E29+F29</f>
        <v>0.64986808674404406</v>
      </c>
    </row>
    <row r="30" spans="2:10" x14ac:dyDescent="0.35">
      <c r="B30" s="245"/>
      <c r="C30" s="86" t="s">
        <v>92</v>
      </c>
      <c r="D30" s="98">
        <f>I7*F24</f>
        <v>0.33200000000000002</v>
      </c>
      <c r="E30" s="98">
        <f>(I8*(1-I7))</f>
        <v>3.9749999999999994E-2</v>
      </c>
      <c r="F30" s="98">
        <f>I10*I9</f>
        <v>3.9770000000000005E-3</v>
      </c>
      <c r="G30" s="99">
        <f>D30+E30+F30</f>
        <v>0.37572700000000003</v>
      </c>
    </row>
    <row r="31" spans="2:10" ht="14.65" customHeight="1" x14ac:dyDescent="0.35"/>
    <row r="32" spans="2:10" ht="20.149999999999999" customHeight="1" x14ac:dyDescent="0.35">
      <c r="B32" s="247" t="s">
        <v>112</v>
      </c>
      <c r="C32" s="244" t="s">
        <v>32</v>
      </c>
      <c r="D32" s="244"/>
      <c r="E32" s="244"/>
      <c r="F32" s="244"/>
    </row>
    <row r="33" spans="2:11" ht="14.65" customHeight="1" x14ac:dyDescent="0.35">
      <c r="B33" s="247"/>
      <c r="C33" s="87" t="s">
        <v>97</v>
      </c>
      <c r="D33" s="87" t="s">
        <v>106</v>
      </c>
      <c r="E33" s="87" t="s">
        <v>107</v>
      </c>
      <c r="F33" s="87" t="s">
        <v>108</v>
      </c>
    </row>
    <row r="34" spans="2:11" x14ac:dyDescent="0.35">
      <c r="B34" s="247"/>
      <c r="C34" s="87" t="s">
        <v>96</v>
      </c>
      <c r="D34" s="100">
        <f>G28*E13</f>
        <v>8.1991337813072718E-2</v>
      </c>
      <c r="E34" s="100">
        <f>(E12*(1-E13))</f>
        <v>6.0200000000000002E-3</v>
      </c>
      <c r="F34" s="101">
        <f>D34+E34</f>
        <v>8.8011337813072715E-2</v>
      </c>
    </row>
    <row r="35" spans="2:11" x14ac:dyDescent="0.35">
      <c r="B35" s="247"/>
      <c r="C35" s="87" t="s">
        <v>98</v>
      </c>
      <c r="D35" s="100">
        <f>G29*G13</f>
        <v>9.314775909997966E-2</v>
      </c>
      <c r="E35" s="100">
        <f>(G12*(1-G13))</f>
        <v>5.3668381944444454E-3</v>
      </c>
      <c r="F35" s="101">
        <f>D35+E35</f>
        <v>9.8514597294424106E-2</v>
      </c>
    </row>
    <row r="36" spans="2:11" ht="14.65" customHeight="1" x14ac:dyDescent="0.35">
      <c r="B36" s="247"/>
      <c r="C36" s="87" t="s">
        <v>92</v>
      </c>
      <c r="D36" s="100">
        <f>G30*I13</f>
        <v>4.5462967E-2</v>
      </c>
      <c r="E36" s="100">
        <f>(I12*(1-I13))</f>
        <v>5.5067518750000011E-3</v>
      </c>
      <c r="F36" s="101">
        <f>D36+E36</f>
        <v>5.0969718875E-2</v>
      </c>
    </row>
    <row r="37" spans="2:11" ht="14.65" customHeight="1" x14ac:dyDescent="0.35"/>
    <row r="39" spans="2:11" x14ac:dyDescent="0.35">
      <c r="B39" s="241" t="s">
        <v>179</v>
      </c>
      <c r="C39" s="241"/>
      <c r="D39" s="241"/>
      <c r="E39" s="241"/>
      <c r="F39" s="241"/>
      <c r="G39" s="241"/>
      <c r="H39" s="241"/>
      <c r="I39" s="241"/>
      <c r="J39" s="241"/>
      <c r="K39" s="241"/>
    </row>
    <row r="40" spans="2:11" x14ac:dyDescent="0.35">
      <c r="B40" s="88" t="s">
        <v>126</v>
      </c>
      <c r="C40" s="88" t="s">
        <v>113</v>
      </c>
      <c r="D40" s="88" t="s">
        <v>114</v>
      </c>
      <c r="E40" s="88" t="s">
        <v>115</v>
      </c>
      <c r="F40" s="88" t="s">
        <v>116</v>
      </c>
      <c r="G40" s="88" t="s">
        <v>117</v>
      </c>
      <c r="H40" s="88" t="s">
        <v>118</v>
      </c>
      <c r="I40" s="88" t="s">
        <v>119</v>
      </c>
      <c r="J40" s="88" t="s">
        <v>120</v>
      </c>
      <c r="K40" s="88" t="s">
        <v>121</v>
      </c>
    </row>
    <row r="41" spans="2:11" x14ac:dyDescent="0.35">
      <c r="B41" s="61" t="s">
        <v>81</v>
      </c>
      <c r="C41" s="89">
        <f>D22</f>
        <v>0.49</v>
      </c>
      <c r="D41" s="89">
        <f>D23</f>
        <v>0.49</v>
      </c>
      <c r="E41" s="89">
        <f>D24</f>
        <v>0.49</v>
      </c>
      <c r="F41" s="102"/>
      <c r="G41" s="102"/>
      <c r="H41" s="102"/>
      <c r="I41" s="102"/>
      <c r="J41" s="102"/>
      <c r="K41" s="102"/>
    </row>
    <row r="42" spans="2:11" x14ac:dyDescent="0.35">
      <c r="B42" s="61" t="s">
        <v>82</v>
      </c>
      <c r="C42" s="89">
        <f>E22</f>
        <v>0.25900000000000006</v>
      </c>
      <c r="D42" s="89">
        <f>E23</f>
        <v>0.31239999999999996</v>
      </c>
      <c r="E42" s="89">
        <f>E24</f>
        <v>0.17400000000000002</v>
      </c>
      <c r="F42" s="103"/>
      <c r="G42" s="103"/>
      <c r="H42" s="103"/>
      <c r="I42" s="103"/>
      <c r="J42" s="103"/>
      <c r="K42" s="103"/>
    </row>
    <row r="43" spans="2:11" x14ac:dyDescent="0.35">
      <c r="B43" s="67" t="s">
        <v>84</v>
      </c>
      <c r="C43" s="103"/>
      <c r="D43" s="103"/>
      <c r="E43" s="103"/>
      <c r="F43" s="98">
        <f>D28</f>
        <v>0.5243000000000001</v>
      </c>
      <c r="G43" s="98">
        <f>D29</f>
        <v>0.56970399999999999</v>
      </c>
      <c r="H43" s="98">
        <f>D30</f>
        <v>0.33200000000000002</v>
      </c>
      <c r="I43" s="103"/>
      <c r="J43" s="103"/>
      <c r="K43" s="103"/>
    </row>
    <row r="44" spans="2:11" x14ac:dyDescent="0.35">
      <c r="B44" s="67" t="s">
        <v>86</v>
      </c>
      <c r="C44" s="103"/>
      <c r="D44" s="103"/>
      <c r="E44" s="103"/>
      <c r="F44" s="98">
        <f>E28</f>
        <v>3.935241295051925E-2</v>
      </c>
      <c r="G44" s="98">
        <f>E29</f>
        <v>3.636408674404399E-2</v>
      </c>
      <c r="H44" s="98">
        <f>E30</f>
        <v>3.9749999999999994E-2</v>
      </c>
      <c r="I44" s="103"/>
      <c r="J44" s="103"/>
      <c r="K44" s="103"/>
    </row>
    <row r="45" spans="2:11" x14ac:dyDescent="0.35">
      <c r="B45" s="67" t="s">
        <v>87</v>
      </c>
      <c r="C45" s="103"/>
      <c r="D45" s="103"/>
      <c r="E45" s="103"/>
      <c r="F45" s="98">
        <f>F28</f>
        <v>2.2000000000000002E-2</v>
      </c>
      <c r="G45" s="98">
        <f>F29</f>
        <v>4.3800000000000006E-2</v>
      </c>
      <c r="H45" s="98">
        <f>F30</f>
        <v>3.9770000000000005E-3</v>
      </c>
      <c r="I45" s="103"/>
      <c r="J45" s="103"/>
      <c r="K45" s="103"/>
    </row>
    <row r="46" spans="2:11" x14ac:dyDescent="0.35">
      <c r="B46" s="74" t="s">
        <v>83</v>
      </c>
      <c r="C46" s="103"/>
      <c r="D46" s="103"/>
      <c r="E46" s="103"/>
      <c r="F46" s="103"/>
      <c r="G46" s="103"/>
      <c r="H46" s="104"/>
      <c r="I46" s="146">
        <f>D34</f>
        <v>8.1991337813072718E-2</v>
      </c>
      <c r="J46" s="146">
        <f>D35</f>
        <v>9.314775909997966E-2</v>
      </c>
      <c r="K46" s="146">
        <f>D36</f>
        <v>4.5462967E-2</v>
      </c>
    </row>
    <row r="47" spans="2:11" x14ac:dyDescent="0.35">
      <c r="B47" s="74" t="s">
        <v>85</v>
      </c>
      <c r="C47" s="103"/>
      <c r="D47" s="103"/>
      <c r="E47" s="103"/>
      <c r="F47" s="103"/>
      <c r="G47" s="103"/>
      <c r="H47" s="104"/>
      <c r="I47" s="146">
        <f>E34</f>
        <v>6.0200000000000002E-3</v>
      </c>
      <c r="J47" s="146">
        <f>E35</f>
        <v>5.3668381944444454E-3</v>
      </c>
      <c r="K47" s="146">
        <f>E36</f>
        <v>5.5067518750000011E-3</v>
      </c>
    </row>
    <row r="48" spans="2:11" x14ac:dyDescent="0.35">
      <c r="B48" s="136" t="s">
        <v>246</v>
      </c>
      <c r="C48" s="135">
        <f>SUM(C41:C47)</f>
        <v>0.74900000000000011</v>
      </c>
      <c r="D48" s="135">
        <f t="shared" ref="D48:K48" si="0">SUM(D41:D47)</f>
        <v>0.8024</v>
      </c>
      <c r="E48" s="135">
        <f t="shared" si="0"/>
        <v>0.66400000000000003</v>
      </c>
      <c r="F48" s="135">
        <f t="shared" si="0"/>
        <v>0.5856524129505194</v>
      </c>
      <c r="G48" s="135">
        <f t="shared" si="0"/>
        <v>0.64986808674404406</v>
      </c>
      <c r="H48" s="135">
        <f t="shared" si="0"/>
        <v>0.37572700000000003</v>
      </c>
      <c r="I48" s="135">
        <f t="shared" si="0"/>
        <v>8.8011337813072715E-2</v>
      </c>
      <c r="J48" s="135">
        <f>SUM(J41:J47)</f>
        <v>9.8514597294424106E-2</v>
      </c>
      <c r="K48" s="135">
        <f t="shared" si="0"/>
        <v>5.0969718875E-2</v>
      </c>
    </row>
    <row r="67" spans="2:4" x14ac:dyDescent="0.35">
      <c r="B67" s="90"/>
      <c r="C67" s="90"/>
      <c r="D67" s="90"/>
    </row>
    <row r="68" spans="2:4" x14ac:dyDescent="0.35">
      <c r="B68" s="90"/>
      <c r="C68" s="90"/>
      <c r="D68" s="90"/>
    </row>
    <row r="72" spans="2:4" x14ac:dyDescent="0.35">
      <c r="B72" s="90"/>
      <c r="C72" s="90"/>
      <c r="D72" s="90"/>
    </row>
    <row r="77" spans="2:4" x14ac:dyDescent="0.35">
      <c r="B77" s="90"/>
      <c r="C77" s="90"/>
      <c r="D77" s="90"/>
    </row>
    <row r="78" spans="2:4" x14ac:dyDescent="0.35">
      <c r="B78" s="90"/>
      <c r="C78" s="90"/>
      <c r="D78" s="90"/>
    </row>
    <row r="82" spans="2:4" x14ac:dyDescent="0.35">
      <c r="B82" s="90"/>
      <c r="C82" s="90"/>
      <c r="D82" s="90"/>
    </row>
    <row r="84" spans="2:4" x14ac:dyDescent="0.35">
      <c r="B84" s="91"/>
    </row>
    <row r="88" spans="2:4" x14ac:dyDescent="0.35">
      <c r="B88" s="90"/>
      <c r="C88" s="90"/>
      <c r="D88" s="90"/>
    </row>
    <row r="89" spans="2:4" x14ac:dyDescent="0.35">
      <c r="B89" s="90"/>
      <c r="C89" s="90"/>
      <c r="D89" s="90"/>
    </row>
    <row r="94" spans="2:4" x14ac:dyDescent="0.35">
      <c r="B94" s="90"/>
      <c r="C94" s="90"/>
      <c r="D94" s="90"/>
    </row>
    <row r="99" spans="2:4" x14ac:dyDescent="0.35">
      <c r="B99" s="90"/>
      <c r="C99" s="90"/>
      <c r="D99" s="90"/>
    </row>
    <row r="104" spans="2:4" x14ac:dyDescent="0.35">
      <c r="B104" s="90"/>
      <c r="C104" s="90"/>
      <c r="D104" s="90"/>
    </row>
  </sheetData>
  <mergeCells count="17">
    <mergeCell ref="B39:K39"/>
    <mergeCell ref="C20:F20"/>
    <mergeCell ref="C26:G26"/>
    <mergeCell ref="C32:F32"/>
    <mergeCell ref="B26:B30"/>
    <mergeCell ref="B21:B24"/>
    <mergeCell ref="B32:B36"/>
    <mergeCell ref="B3:B5"/>
    <mergeCell ref="I1:J1"/>
    <mergeCell ref="J16:J17"/>
    <mergeCell ref="B11:B13"/>
    <mergeCell ref="B6:B10"/>
    <mergeCell ref="E1:F1"/>
    <mergeCell ref="G1:H1"/>
    <mergeCell ref="B14:B18"/>
    <mergeCell ref="F16:F18"/>
    <mergeCell ref="H16:H17"/>
  </mergeCells>
  <hyperlinks>
    <hyperlink ref="H4" r:id="rId1" display="https://www.iea.org/data-and-statistics/charts/global-thermal-energy-intensity-of-clinker-production-by-fuel-in-the-net-zero-scenario-2010-2030"/>
    <hyperlink ref="F4" r:id="rId2" display="https://www.iea.org/data-and-statistics/charts/thermal-specific-energy-consumption-per-tonne-of-clinker-in-selected-countries-and-regions-2018"/>
    <hyperlink ref="H10" r:id="rId3" display="https://ourworldindata.org/grapher/carbon-intensity-electricity"/>
    <hyperlink ref="J10" r:id="rId4" display="https://ourworldindata.org/grapher/carbon-intensity-electricity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5"/>
  <sheetViews>
    <sheetView topLeftCell="B22" zoomScale="80" zoomScaleNormal="80" workbookViewId="0">
      <selection activeCell="B31" sqref="B31:H31"/>
    </sheetView>
  </sheetViews>
  <sheetFormatPr defaultRowHeight="14.5" x14ac:dyDescent="0.35"/>
  <cols>
    <col min="2" max="2" width="45.54296875" customWidth="1"/>
    <col min="3" max="3" width="52.36328125" customWidth="1"/>
    <col min="4" max="4" width="52.453125" customWidth="1"/>
    <col min="5" max="5" width="42.1796875" customWidth="1"/>
    <col min="6" max="6" width="49.36328125" customWidth="1"/>
    <col min="7" max="7" width="41.81640625" customWidth="1"/>
    <col min="8" max="8" width="59.1796875" customWidth="1"/>
    <col min="9" max="9" width="28.453125" customWidth="1"/>
    <col min="11" max="11" width="35.7265625" customWidth="1"/>
    <col min="12" max="12" width="11.453125" customWidth="1"/>
    <col min="15" max="15" width="8.7265625" customWidth="1"/>
    <col min="20" max="22" width="8.7265625" customWidth="1"/>
    <col min="23" max="23" width="6.7265625" customWidth="1"/>
    <col min="28" max="28" width="13.453125" customWidth="1"/>
    <col min="29" max="36" width="8.26953125" customWidth="1"/>
  </cols>
  <sheetData>
    <row r="2" spans="2:16" ht="18.5" x14ac:dyDescent="0.45">
      <c r="D2" s="4"/>
      <c r="E2" s="4"/>
      <c r="F2" s="4"/>
      <c r="G2" s="227" t="s">
        <v>171</v>
      </c>
      <c r="H2" s="227"/>
      <c r="I2" s="227"/>
      <c r="J2" s="36"/>
      <c r="K2" s="227" t="s">
        <v>287</v>
      </c>
      <c r="L2" s="227"/>
      <c r="M2" s="227"/>
      <c r="N2" s="227"/>
      <c r="O2" s="227"/>
      <c r="P2" s="227"/>
    </row>
    <row r="3" spans="2:16" ht="18.5" x14ac:dyDescent="0.45">
      <c r="B3" s="126" t="s">
        <v>254</v>
      </c>
      <c r="C3" s="124" t="s">
        <v>170</v>
      </c>
      <c r="D3" s="126" t="s">
        <v>129</v>
      </c>
      <c r="E3" s="126" t="s">
        <v>128</v>
      </c>
      <c r="F3" s="126" t="s">
        <v>127</v>
      </c>
      <c r="G3" s="25" t="s">
        <v>172</v>
      </c>
      <c r="H3" s="25" t="s">
        <v>173</v>
      </c>
      <c r="I3" s="133" t="s">
        <v>260</v>
      </c>
      <c r="K3" s="161" t="s">
        <v>129</v>
      </c>
      <c r="L3" s="161" t="s">
        <v>241</v>
      </c>
      <c r="M3" s="161" t="s">
        <v>242</v>
      </c>
      <c r="N3" s="161" t="s">
        <v>243</v>
      </c>
      <c r="O3" s="161" t="s">
        <v>244</v>
      </c>
      <c r="P3" s="161" t="s">
        <v>245</v>
      </c>
    </row>
    <row r="4" spans="2:16" x14ac:dyDescent="0.35">
      <c r="B4" s="257" t="s">
        <v>199</v>
      </c>
      <c r="C4" s="261">
        <f>'Material Flow Analysis'!B28*'Carbon Intensity'!F22</f>
        <v>8.045308600000002</v>
      </c>
      <c r="D4" s="18" t="s">
        <v>130</v>
      </c>
      <c r="E4" s="18" t="s">
        <v>131</v>
      </c>
      <c r="F4" s="262">
        <f>'Material Flow Analysis'!B28</f>
        <v>10.741400000000001</v>
      </c>
      <c r="G4" s="33">
        <f>0.315/0.9</f>
        <v>0.35</v>
      </c>
      <c r="H4" s="33">
        <f>0.74/0.9</f>
        <v>0.82222222222222219</v>
      </c>
      <c r="I4" s="171">
        <f t="shared" ref="I4:I14" si="0">AVERAGE(L4:P4)</f>
        <v>0.47640000000000005</v>
      </c>
      <c r="K4" s="121" t="s">
        <v>130</v>
      </c>
      <c r="L4" s="109">
        <v>0.315</v>
      </c>
      <c r="M4" s="109">
        <v>0.61</v>
      </c>
      <c r="N4" s="109">
        <v>0.317</v>
      </c>
      <c r="O4" s="109">
        <v>0.74099999999999999</v>
      </c>
      <c r="P4" s="109">
        <v>0.39900000000000002</v>
      </c>
    </row>
    <row r="5" spans="2:16" x14ac:dyDescent="0.35">
      <c r="B5" s="257"/>
      <c r="C5" s="261"/>
      <c r="D5" s="18" t="s">
        <v>132</v>
      </c>
      <c r="E5" s="18" t="s">
        <v>133</v>
      </c>
      <c r="F5" s="263"/>
      <c r="G5" s="33">
        <f>0.038/0.9</f>
        <v>4.2222222222222223E-2</v>
      </c>
      <c r="H5" s="33">
        <f>0.124/0.9</f>
        <v>0.13777777777777778</v>
      </c>
      <c r="I5" s="171">
        <f t="shared" si="0"/>
        <v>9.4333333333333325E-2</v>
      </c>
      <c r="K5" s="122" t="s">
        <v>132</v>
      </c>
      <c r="L5" s="109"/>
      <c r="M5" s="109"/>
      <c r="N5" s="109">
        <v>0.124</v>
      </c>
      <c r="O5" s="109">
        <v>0.121</v>
      </c>
      <c r="P5" s="109">
        <v>3.7999999999999999E-2</v>
      </c>
    </row>
    <row r="6" spans="2:16" x14ac:dyDescent="0.35">
      <c r="B6" s="257"/>
      <c r="C6" s="261"/>
      <c r="D6" s="18" t="s">
        <v>134</v>
      </c>
      <c r="E6" s="18" t="s">
        <v>133</v>
      </c>
      <c r="F6" s="263"/>
      <c r="G6" s="33">
        <f>0.027/0.9</f>
        <v>0.03</v>
      </c>
      <c r="H6" s="33">
        <f>0.307/0.9</f>
        <v>0.34111111111111109</v>
      </c>
      <c r="I6" s="171">
        <f>AVERAGE(L6:P6)</f>
        <v>0.16700000000000001</v>
      </c>
      <c r="K6" s="122" t="s">
        <v>134</v>
      </c>
      <c r="L6" s="109"/>
      <c r="M6" s="109"/>
      <c r="N6" s="109"/>
      <c r="O6" s="109">
        <v>0.307</v>
      </c>
      <c r="P6" s="109">
        <v>2.7E-2</v>
      </c>
    </row>
    <row r="7" spans="2:16" x14ac:dyDescent="0.35">
      <c r="B7" s="257"/>
      <c r="C7" s="261"/>
      <c r="D7" s="18" t="s">
        <v>135</v>
      </c>
      <c r="E7" s="18" t="s">
        <v>136</v>
      </c>
      <c r="F7" s="263"/>
      <c r="G7" s="33">
        <f>0.101/0.9</f>
        <v>0.11222222222222222</v>
      </c>
      <c r="H7" s="33">
        <f>0.16/0.9</f>
        <v>0.17777777777777778</v>
      </c>
      <c r="I7" s="171">
        <f t="shared" si="0"/>
        <v>0.13250000000000001</v>
      </c>
      <c r="K7" s="122" t="s">
        <v>135</v>
      </c>
      <c r="L7" s="109">
        <v>0.14199999999999999</v>
      </c>
      <c r="M7" s="109">
        <v>0.16</v>
      </c>
      <c r="N7" s="109">
        <v>0.127</v>
      </c>
      <c r="O7" s="109"/>
      <c r="P7" s="109">
        <v>0.10100000000000001</v>
      </c>
    </row>
    <row r="8" spans="2:16" x14ac:dyDescent="0.35">
      <c r="B8" s="257"/>
      <c r="C8" s="261"/>
      <c r="D8" s="18" t="s">
        <v>137</v>
      </c>
      <c r="E8" s="18" t="s">
        <v>138</v>
      </c>
      <c r="F8" s="264"/>
      <c r="G8" s="33">
        <f>0.033/0.9</f>
        <v>3.6666666666666667E-2</v>
      </c>
      <c r="H8" s="33">
        <f>0.037/0.9</f>
        <v>4.1111111111111105E-2</v>
      </c>
      <c r="I8" s="171">
        <f t="shared" si="0"/>
        <v>3.4333333333333334E-2</v>
      </c>
      <c r="K8" s="122" t="s">
        <v>137</v>
      </c>
      <c r="L8" s="109"/>
      <c r="M8" s="109"/>
      <c r="N8" s="109">
        <v>3.3000000000000002E-2</v>
      </c>
      <c r="O8" s="109">
        <v>3.3000000000000002E-2</v>
      </c>
      <c r="P8" s="109">
        <v>3.6999999999999998E-2</v>
      </c>
    </row>
    <row r="9" spans="2:16" x14ac:dyDescent="0.35">
      <c r="B9" s="253" t="s">
        <v>43</v>
      </c>
      <c r="C9" s="265">
        <f>'Material Flow Analysis'!B7*'Carbon Intensity'!G28</f>
        <v>8.9511114795357383</v>
      </c>
      <c r="D9" s="19" t="s">
        <v>139</v>
      </c>
      <c r="E9" s="19" t="s">
        <v>140</v>
      </c>
      <c r="F9" s="266">
        <f>'Material Flow Analysis'!B7</f>
        <v>15.283999999999999</v>
      </c>
      <c r="G9" s="32">
        <f>0.04/0.95</f>
        <v>4.2105263157894743E-2</v>
      </c>
      <c r="H9" s="32">
        <f>0.057/0.95</f>
        <v>6.0000000000000005E-2</v>
      </c>
      <c r="I9" s="173">
        <f t="shared" si="0"/>
        <v>4.9000000000000009E-2</v>
      </c>
      <c r="K9" s="8" t="s">
        <v>139</v>
      </c>
      <c r="L9" s="109"/>
      <c r="M9" s="109">
        <v>0.04</v>
      </c>
      <c r="N9" s="109"/>
      <c r="O9" s="109">
        <v>5.7000000000000002E-2</v>
      </c>
      <c r="P9" s="109">
        <v>0.05</v>
      </c>
    </row>
    <row r="10" spans="2:16" x14ac:dyDescent="0.35">
      <c r="B10" s="253"/>
      <c r="C10" s="265"/>
      <c r="D10" s="19" t="s">
        <v>141</v>
      </c>
      <c r="E10" s="19" t="s">
        <v>142</v>
      </c>
      <c r="F10" s="267"/>
      <c r="G10" s="32">
        <f>0.003/0.95</f>
        <v>3.1578947368421056E-3</v>
      </c>
      <c r="H10" s="32">
        <f>0.09/0.95</f>
        <v>9.4736842105263161E-2</v>
      </c>
      <c r="I10" s="173">
        <f t="shared" si="0"/>
        <v>3.9E-2</v>
      </c>
      <c r="K10" s="8" t="s">
        <v>141</v>
      </c>
      <c r="L10" s="109"/>
      <c r="M10" s="109"/>
      <c r="N10" s="109">
        <v>0.09</v>
      </c>
      <c r="O10" s="109">
        <v>3.0000000000000001E-3</v>
      </c>
      <c r="P10" s="109">
        <v>2.4E-2</v>
      </c>
    </row>
    <row r="11" spans="2:16" x14ac:dyDescent="0.35">
      <c r="B11" s="253"/>
      <c r="C11" s="265"/>
      <c r="D11" s="19" t="s">
        <v>143</v>
      </c>
      <c r="E11" s="19" t="s">
        <v>144</v>
      </c>
      <c r="F11" s="268"/>
      <c r="G11" s="32">
        <f>0.019/0.95</f>
        <v>0.02</v>
      </c>
      <c r="H11" s="32">
        <f>0.143/0.95</f>
        <v>0.15052631578947367</v>
      </c>
      <c r="I11" s="173">
        <f t="shared" si="0"/>
        <v>8.8499999999999995E-2</v>
      </c>
      <c r="K11" s="8" t="s">
        <v>143</v>
      </c>
      <c r="L11" s="109">
        <v>1.9E-2</v>
      </c>
      <c r="M11" s="109"/>
      <c r="N11" s="109">
        <v>0.14299999999999999</v>
      </c>
      <c r="O11" s="109">
        <v>8.8999999999999996E-2</v>
      </c>
      <c r="P11" s="109">
        <v>0.10299999999999999</v>
      </c>
    </row>
    <row r="12" spans="2:16" x14ac:dyDescent="0.35">
      <c r="B12" s="249" t="s">
        <v>253</v>
      </c>
      <c r="C12" s="250">
        <f>'Material Flow Analysis'!B16*'Carbon Intensity'!F34</f>
        <v>7.6921909248625555</v>
      </c>
      <c r="D12" s="20" t="s">
        <v>145</v>
      </c>
      <c r="E12" s="252" t="s">
        <v>146</v>
      </c>
      <c r="F12" s="250">
        <f>'Material Flow Analysis'!B16</f>
        <v>87.4</v>
      </c>
      <c r="G12" s="34">
        <f>0.012</f>
        <v>1.2E-2</v>
      </c>
      <c r="H12" s="34">
        <f>0.1</f>
        <v>0.1</v>
      </c>
      <c r="I12" s="170">
        <f t="shared" si="0"/>
        <v>0.06</v>
      </c>
      <c r="K12" s="120" t="s">
        <v>145</v>
      </c>
      <c r="L12" s="109"/>
      <c r="M12" s="109"/>
      <c r="N12" s="109">
        <v>1.2E-2</v>
      </c>
      <c r="O12" s="109">
        <v>0.108</v>
      </c>
      <c r="P12" s="109"/>
    </row>
    <row r="13" spans="2:16" x14ac:dyDescent="0.35">
      <c r="B13" s="249"/>
      <c r="C13" s="251"/>
      <c r="D13" s="20" t="s">
        <v>147</v>
      </c>
      <c r="E13" s="252"/>
      <c r="F13" s="251"/>
      <c r="G13" s="34">
        <v>8.8999999999999996E-2</v>
      </c>
      <c r="H13" s="34">
        <f>0.243</f>
        <v>0.24299999999999999</v>
      </c>
      <c r="I13" s="170">
        <f t="shared" si="0"/>
        <v>0.16599999999999998</v>
      </c>
      <c r="K13" s="120" t="s">
        <v>147</v>
      </c>
      <c r="L13" s="109"/>
      <c r="M13" s="109"/>
      <c r="N13" s="109">
        <v>8.8999999999999996E-2</v>
      </c>
      <c r="O13" s="109">
        <v>0.24299999999999999</v>
      </c>
      <c r="P13" s="109"/>
    </row>
    <row r="14" spans="2:16" x14ac:dyDescent="0.35">
      <c r="B14" s="27" t="s">
        <v>22</v>
      </c>
      <c r="C14" s="95">
        <f>(('Carbon Intensity'!E17*'Carbon Intensity'!E18)*'Carbon Intensity'!F34)/1000</f>
        <v>4.4621748271227872</v>
      </c>
      <c r="D14" s="21" t="s">
        <v>148</v>
      </c>
      <c r="E14" s="21" t="s">
        <v>149</v>
      </c>
      <c r="F14" s="95">
        <f>'Material Flow Analysis'!B22</f>
        <v>50.7</v>
      </c>
      <c r="G14" s="35">
        <f>0.12</f>
        <v>0.12</v>
      </c>
      <c r="H14" s="35">
        <f>0.2</f>
        <v>0.2</v>
      </c>
      <c r="I14" s="172">
        <f t="shared" si="0"/>
        <v>0.17033333333333334</v>
      </c>
      <c r="K14" s="123" t="s">
        <v>148</v>
      </c>
      <c r="L14" s="109"/>
      <c r="M14" s="109"/>
      <c r="N14" s="109">
        <v>0.12</v>
      </c>
      <c r="O14" s="109">
        <v>0.191</v>
      </c>
      <c r="P14" s="109">
        <v>0.2</v>
      </c>
    </row>
    <row r="15" spans="2:16" ht="15" customHeight="1" x14ac:dyDescent="0.45">
      <c r="B15" s="45"/>
      <c r="C15" s="46"/>
      <c r="D15" s="36"/>
      <c r="E15" s="47"/>
      <c r="F15" s="127" t="s">
        <v>255</v>
      </c>
      <c r="G15" s="128">
        <f>SUM(G4:G14)</f>
        <v>0.8573742690058479</v>
      </c>
      <c r="H15" s="128">
        <f>SUM(H4:H14)</f>
        <v>2.3682631578947371</v>
      </c>
      <c r="I15" s="128">
        <f>SUM(I4:I14)</f>
        <v>1.4774000000000003</v>
      </c>
    </row>
    <row r="17" spans="2:8" ht="18.5" x14ac:dyDescent="0.45">
      <c r="B17" s="269" t="s">
        <v>261</v>
      </c>
      <c r="C17" s="269"/>
      <c r="D17" s="269"/>
      <c r="E17" s="269"/>
      <c r="F17" s="269"/>
      <c r="G17" s="269"/>
    </row>
    <row r="18" spans="2:8" x14ac:dyDescent="0.35">
      <c r="B18" s="125" t="s">
        <v>254</v>
      </c>
      <c r="C18" s="125" t="s">
        <v>129</v>
      </c>
      <c r="D18" s="125" t="s">
        <v>178</v>
      </c>
      <c r="E18" s="125" t="s">
        <v>172</v>
      </c>
      <c r="F18" s="157" t="s">
        <v>260</v>
      </c>
      <c r="G18" s="157" t="s">
        <v>173</v>
      </c>
    </row>
    <row r="19" spans="2:8" x14ac:dyDescent="0.35">
      <c r="B19" s="257" t="s">
        <v>199</v>
      </c>
      <c r="C19" s="17" t="s">
        <v>130</v>
      </c>
      <c r="D19" s="258" t="s">
        <v>177</v>
      </c>
      <c r="E19" s="42">
        <f>'Carbon Intensity'!$F$22*$F$4*'Decarbonization Potential'!G4</f>
        <v>2.8158580100000004</v>
      </c>
      <c r="F19" s="42">
        <f>'Carbon Intensity'!$F$22*$F$4*'Decarbonization Potential'!I4</f>
        <v>3.8327850170400013</v>
      </c>
      <c r="G19" s="42">
        <f>'Carbon Intensity'!$F$22*$F$4*'Decarbonization Potential'!H4</f>
        <v>6.6150315155555566</v>
      </c>
      <c r="H19" s="111"/>
    </row>
    <row r="20" spans="2:8" x14ac:dyDescent="0.35">
      <c r="B20" s="257"/>
      <c r="C20" s="17" t="s">
        <v>132</v>
      </c>
      <c r="D20" s="258"/>
      <c r="E20" s="42">
        <f>'Carbon Intensity'!$F$22*$F$4*'Decarbonization Potential'!G5</f>
        <v>0.33969080755555564</v>
      </c>
      <c r="F20" s="42">
        <f>'Carbon Intensity'!$F$22*$F$4*'Decarbonization Potential'!I5</f>
        <v>0.75894077793333348</v>
      </c>
      <c r="G20" s="42">
        <f>'Carbon Intensity'!$F$22*$F$4*'Decarbonization Potential'!H5</f>
        <v>1.1084647404444448</v>
      </c>
      <c r="H20" s="111"/>
    </row>
    <row r="21" spans="2:8" x14ac:dyDescent="0.35">
      <c r="B21" s="257"/>
      <c r="C21" s="17" t="s">
        <v>134</v>
      </c>
      <c r="D21" s="258"/>
      <c r="E21" s="42">
        <f>'Carbon Intensity'!$F$22*$F$4*'Decarbonization Potential'!G6</f>
        <v>0.24135925800000005</v>
      </c>
      <c r="F21" s="42">
        <f>'Carbon Intensity'!$F$22*$F$4*'Decarbonization Potential'!I6</f>
        <v>1.3435665362000004</v>
      </c>
      <c r="G21" s="42">
        <f>'Carbon Intensity'!$F$22*$F$4*'Decarbonization Potential'!H6</f>
        <v>2.7443441557777781</v>
      </c>
    </row>
    <row r="22" spans="2:8" x14ac:dyDescent="0.35">
      <c r="B22" s="257"/>
      <c r="C22" s="17" t="s">
        <v>135</v>
      </c>
      <c r="D22" s="258"/>
      <c r="E22" s="42">
        <f>'Carbon Intensity'!$F$22*$F$4*'Decarbonization Potential'!G7</f>
        <v>0.90286240955555574</v>
      </c>
      <c r="F22" s="42">
        <f>'Carbon Intensity'!$F$22*$F$4*'Decarbonization Potential'!I7</f>
        <v>1.0660033895000003</v>
      </c>
      <c r="G22" s="42">
        <f>'Carbon Intensity'!$F$22*$F$4*'Decarbonization Potential'!H7</f>
        <v>1.4302770844444448</v>
      </c>
    </row>
    <row r="23" spans="2:8" x14ac:dyDescent="0.35">
      <c r="B23" s="257"/>
      <c r="C23" s="17" t="s">
        <v>137</v>
      </c>
      <c r="D23" s="258"/>
      <c r="E23" s="42">
        <f>'Carbon Intensity'!$F$22*$F$4*'Decarbonization Potential'!G8</f>
        <v>0.29499464866666675</v>
      </c>
      <c r="F23" s="42">
        <f>'Carbon Intensity'!$F$22*$F$4*'Decarbonization Potential'!I8</f>
        <v>0.27622226193333338</v>
      </c>
      <c r="G23" s="42">
        <f>'Carbon Intensity'!$F$22*$F$4*'Decarbonization Potential'!H8</f>
        <v>0.33075157577777781</v>
      </c>
    </row>
    <row r="24" spans="2:8" x14ac:dyDescent="0.35">
      <c r="B24" s="253" t="s">
        <v>43</v>
      </c>
      <c r="C24" s="8" t="s">
        <v>249</v>
      </c>
      <c r="D24" s="258"/>
      <c r="E24" s="43">
        <f>'Carbon Intensity'!$G$28*$F$9*'Decarbonization Potential'!G9</f>
        <v>0.3768889044015048</v>
      </c>
      <c r="F24" s="43">
        <f>'Carbon Intensity'!$G$28*$F$9*'Decarbonization Potential'!I9</f>
        <v>0.43860446249725127</v>
      </c>
      <c r="G24" s="43">
        <f>'Carbon Intensity'!$G$28*$F$9*'Decarbonization Potential'!H9</f>
        <v>0.53706668877214436</v>
      </c>
    </row>
    <row r="25" spans="2:8" x14ac:dyDescent="0.35">
      <c r="B25" s="253"/>
      <c r="C25" s="8" t="s">
        <v>141</v>
      </c>
      <c r="D25" s="258"/>
      <c r="E25" s="43">
        <f>'Carbon Intensity'!$G$28*$F$9*'Decarbonization Potential'!G10</f>
        <v>2.8266667830112863E-2</v>
      </c>
      <c r="F25" s="43">
        <f>'Carbon Intensity'!$G$28*$F$9*'Decarbonization Potential'!I10</f>
        <v>0.34909334770189382</v>
      </c>
      <c r="G25" s="43">
        <f>'Carbon Intensity'!$G$28*$F$9*'Decarbonization Potential'!H10</f>
        <v>0.84800003490338571</v>
      </c>
    </row>
    <row r="26" spans="2:8" x14ac:dyDescent="0.35">
      <c r="B26" s="253"/>
      <c r="C26" s="8" t="s">
        <v>143</v>
      </c>
      <c r="D26" s="258"/>
      <c r="E26" s="43">
        <f>'Carbon Intensity'!$G$28*$F$9*'Decarbonization Potential'!G11</f>
        <v>0.17902222959071476</v>
      </c>
      <c r="F26" s="43">
        <f>'Carbon Intensity'!$G$28*$F$9*'Decarbonization Potential'!I11</f>
        <v>0.79217336593891274</v>
      </c>
      <c r="G26" s="43">
        <f>'Carbon Intensity'!$G$28*$F$9*'Decarbonization Potential'!H11</f>
        <v>1.3473778332353794</v>
      </c>
    </row>
    <row r="27" spans="2:8" x14ac:dyDescent="0.35">
      <c r="B27" s="249" t="s">
        <v>253</v>
      </c>
      <c r="C27" s="11" t="s">
        <v>145</v>
      </c>
      <c r="D27" s="258"/>
      <c r="E27" s="41">
        <f>'Carbon Intensity'!$F$34*$F$12*'Decarbonization Potential'!G12</f>
        <v>9.2306291098350673E-2</v>
      </c>
      <c r="F27" s="41">
        <f>'Carbon Intensity'!$F$34*$F$12*'Decarbonization Potential'!I12</f>
        <v>0.46153145549175334</v>
      </c>
      <c r="G27" s="41">
        <f>'Carbon Intensity'!$F$34*$F$12*'Decarbonization Potential'!H12</f>
        <v>0.76921909248625564</v>
      </c>
    </row>
    <row r="28" spans="2:8" x14ac:dyDescent="0.35">
      <c r="B28" s="249"/>
      <c r="C28" s="11" t="s">
        <v>248</v>
      </c>
      <c r="D28" s="258"/>
      <c r="E28" s="41">
        <f>'Carbon Intensity'!$F$34*$F$12*'Decarbonization Potential'!G13</f>
        <v>0.68460499231276739</v>
      </c>
      <c r="F28" s="41">
        <f>'Carbon Intensity'!$F$34*$F$12*'Decarbonization Potential'!I13</f>
        <v>1.276903693527184</v>
      </c>
      <c r="G28" s="41">
        <f>'Carbon Intensity'!$F$34*$F$12*'Decarbonization Potential'!H13</f>
        <v>1.869202394741601</v>
      </c>
    </row>
    <row r="29" spans="2:8" x14ac:dyDescent="0.35">
      <c r="B29" s="27" t="s">
        <v>22</v>
      </c>
      <c r="C29" s="10" t="s">
        <v>148</v>
      </c>
      <c r="D29" s="258"/>
      <c r="E29" s="44">
        <f>'Carbon Intensity'!$F$34*$F$14*'Decarbonization Potential'!G14</f>
        <v>0.53546097925473446</v>
      </c>
      <c r="F29" s="44">
        <f>'Carbon Intensity'!$F$34*$F$14*'Decarbonization Potential'!I14</f>
        <v>0.76005711221991479</v>
      </c>
      <c r="G29" s="44">
        <f>'Carbon Intensity'!$F$34*$F$14*'Decarbonization Potential'!H14</f>
        <v>0.89243496542455747</v>
      </c>
    </row>
    <row r="31" spans="2:8" ht="18.5" x14ac:dyDescent="0.45">
      <c r="B31" s="269" t="s">
        <v>262</v>
      </c>
      <c r="C31" s="269"/>
      <c r="D31" s="269"/>
      <c r="E31" s="269"/>
      <c r="F31" s="269"/>
      <c r="G31" s="269"/>
      <c r="H31" s="269"/>
    </row>
    <row r="32" spans="2:8" ht="18.5" x14ac:dyDescent="0.45">
      <c r="B32" s="270" t="s">
        <v>263</v>
      </c>
      <c r="C32" s="270"/>
      <c r="D32" s="270"/>
      <c r="E32" s="270"/>
      <c r="F32" s="270"/>
      <c r="G32" s="270"/>
      <c r="H32" s="270"/>
    </row>
    <row r="33" spans="2:8" x14ac:dyDescent="0.35">
      <c r="B33" s="125" t="s">
        <v>254</v>
      </c>
      <c r="C33" s="125" t="s">
        <v>129</v>
      </c>
      <c r="D33" s="255" t="s">
        <v>269</v>
      </c>
      <c r="E33" s="256"/>
      <c r="F33" s="137" t="s">
        <v>172</v>
      </c>
      <c r="G33" s="157" t="s">
        <v>260</v>
      </c>
      <c r="H33" s="157" t="s">
        <v>173</v>
      </c>
    </row>
    <row r="34" spans="2:8" x14ac:dyDescent="0.35">
      <c r="B34" s="257" t="s">
        <v>199</v>
      </c>
      <c r="C34" s="17" t="s">
        <v>135</v>
      </c>
      <c r="D34" s="276">
        <f>('Carbon Intensity'!$E$4*('Carbon Intensity'!$E$5-'Carbon Intensity'!$I$5))*F4</f>
        <v>0.4769181600000002</v>
      </c>
      <c r="E34" s="277"/>
      <c r="F34" s="42">
        <f>E22</f>
        <v>0.90286240955555574</v>
      </c>
      <c r="G34" s="42">
        <f t="shared" ref="F34:H36" si="1">F22</f>
        <v>1.0660033895000003</v>
      </c>
      <c r="H34" s="42">
        <f t="shared" si="1"/>
        <v>1.4302770844444448</v>
      </c>
    </row>
    <row r="35" spans="2:8" x14ac:dyDescent="0.35">
      <c r="B35" s="257"/>
      <c r="C35" s="17" t="s">
        <v>137</v>
      </c>
      <c r="D35" s="276">
        <f>((('Carbon Intensity'!$E$4-'Carbon Intensity'!$I$4)*'Carbon Intensity'!$E$5))*F4</f>
        <v>0.52632860000000015</v>
      </c>
      <c r="E35" s="277"/>
      <c r="F35" s="42">
        <f t="shared" si="1"/>
        <v>0.29499464866666675</v>
      </c>
      <c r="G35" s="42">
        <f t="shared" si="1"/>
        <v>0.27622226193333338</v>
      </c>
      <c r="H35" s="42">
        <f t="shared" si="1"/>
        <v>0.33075157577777781</v>
      </c>
    </row>
    <row r="36" spans="2:8" x14ac:dyDescent="0.35">
      <c r="B36" s="253" t="s">
        <v>43</v>
      </c>
      <c r="C36" s="8" t="s">
        <v>249</v>
      </c>
      <c r="D36" s="278">
        <f>F9*'Carbon Intensity'!$E$9*('Carbon Intensity'!$E$10-'Carbon Intensity'!$I$10)</f>
        <v>0.26731716</v>
      </c>
      <c r="E36" s="279"/>
      <c r="F36" s="43">
        <f t="shared" si="1"/>
        <v>0.3768889044015048</v>
      </c>
      <c r="G36" s="43">
        <f t="shared" si="1"/>
        <v>0.43860446249725127</v>
      </c>
      <c r="H36" s="43">
        <f t="shared" si="1"/>
        <v>0.53706668877214436</v>
      </c>
    </row>
    <row r="37" spans="2:8" x14ac:dyDescent="0.35">
      <c r="B37" s="253"/>
      <c r="C37" s="8" t="s">
        <v>143</v>
      </c>
      <c r="D37" s="278">
        <f>'Carbon Intensity'!$F$22*('Carbon Intensity'!$E$7-'Carbon Intensity'!$I$7)*F4</f>
        <v>1.6090617199999999</v>
      </c>
      <c r="E37" s="279"/>
      <c r="F37" s="43">
        <f t="shared" ref="F37:H40" si="2">E26</f>
        <v>0.17902222959071476</v>
      </c>
      <c r="G37" s="43">
        <f t="shared" si="2"/>
        <v>0.79217336593891274</v>
      </c>
      <c r="H37" s="43">
        <f t="shared" si="2"/>
        <v>1.3473778332353794</v>
      </c>
    </row>
    <row r="38" spans="2:8" x14ac:dyDescent="0.35">
      <c r="B38" s="249" t="s">
        <v>253</v>
      </c>
      <c r="C38" s="11" t="s">
        <v>145</v>
      </c>
      <c r="D38" s="271">
        <f>F9*(1-'Carbon Intensity'!$I$13/'Carbon Intensity'!$E$13)*'Carbon Intensity'!$G$28/2</f>
        <v>0.60739685039706826</v>
      </c>
      <c r="E38" s="272"/>
      <c r="F38" s="41">
        <f t="shared" si="2"/>
        <v>9.2306291098350673E-2</v>
      </c>
      <c r="G38" s="41">
        <f t="shared" si="2"/>
        <v>0.46153145549175334</v>
      </c>
      <c r="H38" s="41">
        <f t="shared" si="2"/>
        <v>0.76921909248625564</v>
      </c>
    </row>
    <row r="39" spans="2:8" x14ac:dyDescent="0.35">
      <c r="B39" s="249"/>
      <c r="C39" s="11" t="s">
        <v>248</v>
      </c>
      <c r="D39" s="271">
        <f>F9*(1-'Carbon Intensity'!$I$13/'Carbon Intensity'!$E$13)*'Carbon Intensity'!$G$28/2</f>
        <v>0.60739685039706826</v>
      </c>
      <c r="E39" s="272"/>
      <c r="F39" s="41">
        <f t="shared" si="2"/>
        <v>0.68460499231276739</v>
      </c>
      <c r="G39" s="41">
        <f t="shared" si="2"/>
        <v>1.276903693527184</v>
      </c>
      <c r="H39" s="41">
        <f t="shared" si="2"/>
        <v>1.869202394741601</v>
      </c>
    </row>
    <row r="40" spans="2:8" ht="15" thickBot="1" x14ac:dyDescent="0.4">
      <c r="B40" s="176" t="s">
        <v>22</v>
      </c>
      <c r="C40" s="177" t="s">
        <v>148</v>
      </c>
      <c r="D40" s="273">
        <f>F14*'Carbon Intensity'!F34*(1-'Carbon Intensity'!$I$18/'Carbon Intensity'!$E$18)</f>
        <v>0.8924349654245568</v>
      </c>
      <c r="E40" s="274"/>
      <c r="F40" s="44">
        <f t="shared" si="2"/>
        <v>0.53546097925473446</v>
      </c>
      <c r="G40" s="44">
        <f t="shared" si="2"/>
        <v>0.76005711221991479</v>
      </c>
      <c r="H40" s="44">
        <f t="shared" si="2"/>
        <v>0.89243496542455747</v>
      </c>
    </row>
    <row r="41" spans="2:8" ht="15" thickBot="1" x14ac:dyDescent="0.4">
      <c r="B41" s="259" t="s">
        <v>246</v>
      </c>
      <c r="C41" s="260"/>
      <c r="D41" s="178">
        <f>SUM(D34:E40)</f>
        <v>4.9868543062186941</v>
      </c>
      <c r="E41" s="179"/>
      <c r="F41" s="111"/>
    </row>
    <row r="42" spans="2:8" ht="18.5" x14ac:dyDescent="0.45">
      <c r="B42" s="254" t="s">
        <v>264</v>
      </c>
      <c r="C42" s="254"/>
      <c r="D42" s="254"/>
      <c r="E42" s="254"/>
    </row>
    <row r="43" spans="2:8" x14ac:dyDescent="0.35">
      <c r="B43" s="125" t="s">
        <v>254</v>
      </c>
      <c r="C43" s="125" t="s">
        <v>190</v>
      </c>
      <c r="D43" s="125" t="s">
        <v>189</v>
      </c>
      <c r="E43" s="125" t="s">
        <v>187</v>
      </c>
    </row>
    <row r="44" spans="2:8" x14ac:dyDescent="0.35">
      <c r="B44" s="13" t="s">
        <v>199</v>
      </c>
      <c r="C44" s="92" t="s">
        <v>186</v>
      </c>
      <c r="D44" s="42">
        <f>D45/'Material Flow Analysis'!B35*'Carbon Intensity'!I7</f>
        <v>5.8438306034482759</v>
      </c>
      <c r="E44" s="42">
        <f>D44*'Carbon Intensity'!E48</f>
        <v>3.8803035206896554</v>
      </c>
    </row>
    <row r="45" spans="2:8" x14ac:dyDescent="0.35">
      <c r="B45" s="24" t="s">
        <v>43</v>
      </c>
      <c r="C45" s="93" t="s">
        <v>185</v>
      </c>
      <c r="D45" s="43">
        <f>D46/'Material Flow Analysis'!B36*'Carbon Intensity'!I13</f>
        <v>11.687661206896552</v>
      </c>
      <c r="E45" s="43">
        <f>D45*'Carbon Intensity'!H48</f>
        <v>4.3913698822836214</v>
      </c>
    </row>
    <row r="46" spans="2:8" x14ac:dyDescent="0.35">
      <c r="B46" s="15" t="s">
        <v>253</v>
      </c>
      <c r="C46" s="94" t="s">
        <v>184</v>
      </c>
      <c r="D46" s="41">
        <f>'Carbon Intensity'!I16+'Decarbonization Potential'!D47</f>
        <v>77.273793103448284</v>
      </c>
      <c r="E46" s="41">
        <f>D46*'Carbon Intensity'!K48</f>
        <v>3.9386235108876728</v>
      </c>
    </row>
    <row r="47" spans="2:8" x14ac:dyDescent="0.35">
      <c r="B47" s="22" t="s">
        <v>22</v>
      </c>
      <c r="C47" s="49" t="s">
        <v>194</v>
      </c>
      <c r="D47" s="44">
        <f>('Carbon Intensity'!I17*'Carbon Intensity'!I18)/1000</f>
        <v>40.560000000000009</v>
      </c>
      <c r="E47" s="44">
        <f>D47*'Carbon Intensity'!K48</f>
        <v>2.0673317975700005</v>
      </c>
    </row>
    <row r="48" spans="2:8" x14ac:dyDescent="0.35">
      <c r="B48" s="280" t="s">
        <v>267</v>
      </c>
      <c r="C48" s="280"/>
      <c r="D48" s="280"/>
      <c r="E48" s="280"/>
    </row>
    <row r="49" spans="2:11" x14ac:dyDescent="0.35">
      <c r="B49" s="281" t="s">
        <v>188</v>
      </c>
      <c r="C49" s="281"/>
      <c r="D49" s="281"/>
      <c r="E49" s="281"/>
    </row>
    <row r="50" spans="2:11" x14ac:dyDescent="0.35">
      <c r="B50" s="248" t="s">
        <v>266</v>
      </c>
      <c r="C50" s="248"/>
      <c r="D50" s="175">
        <f>(C12+0.2*C9)-(E46+0.2*E45)</f>
        <v>4.6655157334253072</v>
      </c>
      <c r="E50" s="175"/>
    </row>
    <row r="51" spans="2:11" x14ac:dyDescent="0.35">
      <c r="B51" s="134"/>
      <c r="C51" s="134" t="s">
        <v>268</v>
      </c>
      <c r="D51" s="174">
        <f>D50/D41</f>
        <v>0.93556287128888604</v>
      </c>
      <c r="E51" s="174"/>
    </row>
    <row r="52" spans="2:11" ht="18.5" x14ac:dyDescent="0.45">
      <c r="B52" s="275" t="s">
        <v>265</v>
      </c>
      <c r="C52" s="275"/>
      <c r="D52" s="275"/>
      <c r="E52" s="275"/>
    </row>
    <row r="53" spans="2:11" x14ac:dyDescent="0.35">
      <c r="B53" s="142" t="s">
        <v>257</v>
      </c>
      <c r="C53" s="142" t="s">
        <v>256</v>
      </c>
      <c r="D53" s="142" t="s">
        <v>258</v>
      </c>
      <c r="E53" s="142" t="s">
        <v>187</v>
      </c>
      <c r="F53" s="148"/>
      <c r="G53" s="148"/>
      <c r="H53" s="148"/>
      <c r="I53" s="148"/>
      <c r="J53" s="149"/>
      <c r="K53" s="149"/>
    </row>
    <row r="54" spans="2:11" x14ac:dyDescent="0.35">
      <c r="B54" s="122" t="s">
        <v>130</v>
      </c>
      <c r="C54" s="169">
        <f>I4</f>
        <v>0.47640000000000005</v>
      </c>
      <c r="D54" s="132">
        <f>C54/C58</f>
        <v>0.61333791090893486</v>
      </c>
      <c r="E54" s="29">
        <f>E58*D54</f>
        <v>4.1175705449907429</v>
      </c>
      <c r="F54" s="150"/>
      <c r="G54" s="150"/>
      <c r="H54" s="151"/>
      <c r="I54" s="149"/>
      <c r="J54" s="149"/>
      <c r="K54" s="149"/>
    </row>
    <row r="55" spans="2:11" x14ac:dyDescent="0.35">
      <c r="B55" s="122" t="s">
        <v>132</v>
      </c>
      <c r="C55" s="169">
        <f>I5</f>
        <v>9.4333333333333325E-2</v>
      </c>
      <c r="D55" s="132">
        <f>C55/C58</f>
        <v>0.1214488026778817</v>
      </c>
      <c r="E55" s="29">
        <f>D55*E58</f>
        <v>0.81533197889195352</v>
      </c>
      <c r="F55" s="150"/>
      <c r="G55" s="152"/>
      <c r="H55" s="151"/>
      <c r="I55" s="149"/>
      <c r="J55" s="149"/>
      <c r="K55" s="149"/>
    </row>
    <row r="56" spans="2:11" x14ac:dyDescent="0.35">
      <c r="B56" s="122" t="s">
        <v>134</v>
      </c>
      <c r="C56" s="169">
        <f>I6</f>
        <v>0.16700000000000001</v>
      </c>
      <c r="D56" s="132">
        <f>C56/C58</f>
        <v>0.2150030040339885</v>
      </c>
      <c r="E56" s="29">
        <f>D56*E58</f>
        <v>1.443396895494236</v>
      </c>
      <c r="F56" s="150"/>
      <c r="G56" s="149"/>
      <c r="H56" s="151"/>
      <c r="I56" s="149"/>
      <c r="J56" s="149"/>
      <c r="K56" s="149"/>
    </row>
    <row r="57" spans="2:11" x14ac:dyDescent="0.35">
      <c r="B57" s="8" t="s">
        <v>141</v>
      </c>
      <c r="C57" s="169">
        <f>I10</f>
        <v>3.9E-2</v>
      </c>
      <c r="D57" s="132">
        <f>C57/C58</f>
        <v>5.0210282379194913E-2</v>
      </c>
      <c r="E57" s="29">
        <f>D57*E58</f>
        <v>0.33708071212140839</v>
      </c>
      <c r="F57" s="150"/>
      <c r="G57" s="152"/>
      <c r="H57" s="151"/>
      <c r="I57" s="149"/>
      <c r="J57" s="149"/>
      <c r="K57" s="149"/>
    </row>
    <row r="58" spans="2:11" x14ac:dyDescent="0.35">
      <c r="B58" s="39" t="s">
        <v>246</v>
      </c>
      <c r="C58" s="169">
        <f>SUM(C54:C57)</f>
        <v>0.77673333333333339</v>
      </c>
      <c r="D58" s="132">
        <f>SUM(D54:D57)</f>
        <v>1</v>
      </c>
      <c r="E58" s="29">
        <f>'Decarbonization Waterfall'!E13</f>
        <v>6.713380131498341</v>
      </c>
      <c r="F58" s="206"/>
      <c r="G58" s="206"/>
      <c r="H58" s="149"/>
      <c r="I58" s="149"/>
      <c r="J58" s="149"/>
      <c r="K58" s="149"/>
    </row>
    <row r="59" spans="2:11" x14ac:dyDescent="0.35">
      <c r="B59" s="4"/>
      <c r="F59" s="149"/>
      <c r="G59" s="153"/>
      <c r="H59" s="149"/>
      <c r="I59" s="149"/>
      <c r="J59" s="149"/>
      <c r="K59" s="149"/>
    </row>
    <row r="60" spans="2:11" ht="18.5" x14ac:dyDescent="0.45">
      <c r="B60" s="227" t="s">
        <v>290</v>
      </c>
      <c r="C60" s="227"/>
      <c r="D60" s="227"/>
      <c r="E60" s="227"/>
      <c r="F60" s="227"/>
    </row>
    <row r="61" spans="2:11" x14ac:dyDescent="0.35">
      <c r="B61" s="137" t="s">
        <v>257</v>
      </c>
      <c r="C61" s="137" t="s">
        <v>275</v>
      </c>
      <c r="D61" s="137" t="s">
        <v>276</v>
      </c>
      <c r="E61" s="137" t="s">
        <v>23</v>
      </c>
      <c r="F61" s="137" t="s">
        <v>289</v>
      </c>
    </row>
    <row r="62" spans="2:11" x14ac:dyDescent="0.35">
      <c r="B62" s="122" t="s">
        <v>132</v>
      </c>
      <c r="C62" s="29">
        <f>'Decarbonization Waterfall'!D15*-1</f>
        <v>0.81533197889195352</v>
      </c>
      <c r="D62" s="164">
        <v>5.9299999999999999E-2</v>
      </c>
      <c r="E62" s="164" t="s">
        <v>278</v>
      </c>
      <c r="F62" s="29">
        <f>C62/('Carbon Intensity'!$F$34-D62)</f>
        <v>28.397561416337773</v>
      </c>
    </row>
    <row r="63" spans="2:11" x14ac:dyDescent="0.35">
      <c r="B63" s="122" t="s">
        <v>134</v>
      </c>
      <c r="C63" s="29">
        <f>'Decarbonization Waterfall'!D16*-1</f>
        <v>1.443396895494236</v>
      </c>
      <c r="D63" s="164">
        <v>5.9700000000000003E-2</v>
      </c>
      <c r="E63" s="164" t="s">
        <v>277</v>
      </c>
      <c r="F63" s="29">
        <f>C63/('Carbon Intensity'!$F$34-D63)</f>
        <v>50.982998579026876</v>
      </c>
    </row>
    <row r="64" spans="2:11" x14ac:dyDescent="0.35">
      <c r="B64" s="8" t="s">
        <v>141</v>
      </c>
      <c r="C64" s="29">
        <f>'Decarbonization Waterfall'!D17*-1</f>
        <v>0.33708071212140839</v>
      </c>
      <c r="D64" s="164">
        <v>4.4699999999999997E-2</v>
      </c>
      <c r="E64" s="164" t="s">
        <v>279</v>
      </c>
      <c r="F64" s="29">
        <f>C64/('Carbon Intensity'!$F$34-D64)</f>
        <v>7.7827360950200637</v>
      </c>
    </row>
    <row r="65" spans="3:6" x14ac:dyDescent="0.35">
      <c r="C65" s="111"/>
      <c r="E65" s="147" t="s">
        <v>288</v>
      </c>
      <c r="F65" s="29">
        <f>SUM(F62:F64)</f>
        <v>87.163296090384719</v>
      </c>
    </row>
  </sheetData>
  <mergeCells count="37">
    <mergeCell ref="B60:F60"/>
    <mergeCell ref="K2:P2"/>
    <mergeCell ref="B17:G17"/>
    <mergeCell ref="B32:H32"/>
    <mergeCell ref="B31:H31"/>
    <mergeCell ref="D39:E39"/>
    <mergeCell ref="D40:E40"/>
    <mergeCell ref="B52:E52"/>
    <mergeCell ref="D34:E34"/>
    <mergeCell ref="D35:E35"/>
    <mergeCell ref="D36:E36"/>
    <mergeCell ref="D37:E37"/>
    <mergeCell ref="D38:E38"/>
    <mergeCell ref="B48:E48"/>
    <mergeCell ref="B49:E49"/>
    <mergeCell ref="B34:B35"/>
    <mergeCell ref="G2:I2"/>
    <mergeCell ref="B4:B8"/>
    <mergeCell ref="C4:C8"/>
    <mergeCell ref="F4:F8"/>
    <mergeCell ref="B9:B11"/>
    <mergeCell ref="C9:C11"/>
    <mergeCell ref="F9:F11"/>
    <mergeCell ref="B50:C50"/>
    <mergeCell ref="B12:B13"/>
    <mergeCell ref="C12:C13"/>
    <mergeCell ref="E12:E13"/>
    <mergeCell ref="F12:F13"/>
    <mergeCell ref="B36:B37"/>
    <mergeCell ref="B38:B39"/>
    <mergeCell ref="B42:E42"/>
    <mergeCell ref="D33:E33"/>
    <mergeCell ref="B19:B23"/>
    <mergeCell ref="D19:D29"/>
    <mergeCell ref="B24:B26"/>
    <mergeCell ref="B27:B28"/>
    <mergeCell ref="B41:C4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zoomScale="90" zoomScaleNormal="90" workbookViewId="0">
      <selection activeCell="C20" sqref="C20"/>
    </sheetView>
  </sheetViews>
  <sheetFormatPr defaultRowHeight="14.5" x14ac:dyDescent="0.35"/>
  <cols>
    <col min="1" max="1" width="36.7265625" bestFit="1" customWidth="1"/>
    <col min="2" max="2" width="32.81640625" customWidth="1"/>
    <col min="3" max="3" width="33.08984375" customWidth="1"/>
    <col min="4" max="4" width="19.6328125" customWidth="1"/>
    <col min="5" max="5" width="35.81640625" customWidth="1"/>
    <col min="6" max="6" width="13.36328125" customWidth="1"/>
    <col min="7" max="7" width="16.453125" customWidth="1"/>
  </cols>
  <sheetData>
    <row r="2" spans="1:7" ht="29" customHeight="1" x14ac:dyDescent="0.35">
      <c r="B2" s="282" t="s">
        <v>270</v>
      </c>
      <c r="C2" s="282"/>
      <c r="D2" s="282" t="s">
        <v>271</v>
      </c>
      <c r="E2" s="282"/>
      <c r="F2" s="283" t="s">
        <v>312</v>
      </c>
      <c r="G2" s="284" t="s">
        <v>313</v>
      </c>
    </row>
    <row r="3" spans="1:7" x14ac:dyDescent="0.35">
      <c r="A3" s="1"/>
      <c r="B3" s="164" t="s">
        <v>292</v>
      </c>
      <c r="C3" s="164" t="s">
        <v>293</v>
      </c>
      <c r="D3" s="164" t="s">
        <v>292</v>
      </c>
      <c r="E3" s="164" t="s">
        <v>293</v>
      </c>
      <c r="F3" s="283"/>
      <c r="G3" s="284"/>
    </row>
    <row r="4" spans="1:7" x14ac:dyDescent="0.35">
      <c r="A4" s="129" t="s">
        <v>239</v>
      </c>
      <c r="B4" s="43">
        <f>D4</f>
        <v>9.4824132207697041</v>
      </c>
      <c r="C4" s="43">
        <f>B4</f>
        <v>9.4824132207697041</v>
      </c>
      <c r="D4" s="43">
        <f>'Carbon Intensity'!F34*'Material Flow Analysis'!B30+'Carbon Intensity'!G28*'Material Flow Analysis'!B29*0.2</f>
        <v>9.4824132207697041</v>
      </c>
      <c r="E4" s="43">
        <f>D4</f>
        <v>9.4824132207697041</v>
      </c>
      <c r="F4" s="283"/>
      <c r="G4" s="284"/>
    </row>
    <row r="5" spans="1:7" x14ac:dyDescent="0.35">
      <c r="A5" s="129" t="s">
        <v>237</v>
      </c>
      <c r="B5" s="43">
        <f>D5</f>
        <v>0.94824132207697043</v>
      </c>
      <c r="C5" s="43">
        <f>C4+B5</f>
        <v>10.430654542846675</v>
      </c>
      <c r="D5" s="43">
        <f>D4*0.1</f>
        <v>0.94824132207697043</v>
      </c>
      <c r="E5" s="43">
        <f t="shared" ref="E5:E17" si="0">E4+D5</f>
        <v>10.430654542846675</v>
      </c>
      <c r="F5" s="283"/>
      <c r="G5" s="284"/>
    </row>
    <row r="6" spans="1:7" x14ac:dyDescent="0.35">
      <c r="A6" s="129" t="s">
        <v>238</v>
      </c>
      <c r="B6" s="43">
        <f>D6</f>
        <v>0.94824132207697043</v>
      </c>
      <c r="C6" s="43">
        <f>C5+B6</f>
        <v>11.378895864923646</v>
      </c>
      <c r="D6" s="43">
        <f>D4*0.1</f>
        <v>0.94824132207697043</v>
      </c>
      <c r="E6" s="43">
        <f t="shared" si="0"/>
        <v>11.378895864923646</v>
      </c>
      <c r="F6" s="283"/>
      <c r="G6" s="284"/>
    </row>
    <row r="7" spans="1:7" x14ac:dyDescent="0.35">
      <c r="A7" s="117" t="s">
        <v>135</v>
      </c>
      <c r="B7" s="42">
        <f>'Decarbonization Potential'!E22*-1</f>
        <v>-0.90286240955555574</v>
      </c>
      <c r="C7" s="42">
        <f t="shared" ref="C7:C16" si="1">C6+B7</f>
        <v>10.476033455368089</v>
      </c>
      <c r="D7" s="42">
        <f>G7</f>
        <v>-0.44618692313941255</v>
      </c>
      <c r="E7" s="42">
        <f t="shared" si="0"/>
        <v>10.932708941784233</v>
      </c>
      <c r="F7" s="29">
        <f>'Decarbonization Potential'!D34*-1</f>
        <v>-0.4769181600000002</v>
      </c>
      <c r="G7" s="29">
        <f>F7*'Decarbonization Potential'!$D$51</f>
        <v>-0.44618692313941255</v>
      </c>
    </row>
    <row r="8" spans="1:7" x14ac:dyDescent="0.35">
      <c r="A8" s="117" t="s">
        <v>137</v>
      </c>
      <c r="B8" s="42">
        <f>'Decarbonization Potential'!E23*-1</f>
        <v>-0.29499464866666675</v>
      </c>
      <c r="C8" s="42">
        <f t="shared" si="1"/>
        <v>10.181038806701423</v>
      </c>
      <c r="D8" s="42">
        <f t="shared" ref="D8:D13" si="2">G8</f>
        <v>-0.49241349625745973</v>
      </c>
      <c r="E8" s="42">
        <f t="shared" si="0"/>
        <v>10.440295445526774</v>
      </c>
      <c r="F8" s="29">
        <f>'Decarbonization Potential'!D35*-1</f>
        <v>-0.52632860000000015</v>
      </c>
      <c r="G8" s="29">
        <f>F8*'Decarbonization Potential'!$D$51</f>
        <v>-0.49241349625745973</v>
      </c>
    </row>
    <row r="9" spans="1:7" x14ac:dyDescent="0.35">
      <c r="A9" s="117" t="s">
        <v>139</v>
      </c>
      <c r="B9" s="42">
        <f>'Decarbonization Potential'!E24*-1</f>
        <v>-0.3768889044015048</v>
      </c>
      <c r="C9" s="42">
        <f t="shared" si="1"/>
        <v>9.804149902299919</v>
      </c>
      <c r="D9" s="42">
        <f t="shared" si="2"/>
        <v>-0.25009200975439055</v>
      </c>
      <c r="E9" s="42">
        <f t="shared" si="0"/>
        <v>10.190203435772384</v>
      </c>
      <c r="F9" s="29">
        <f>'Decarbonization Potential'!D36*-1</f>
        <v>-0.26731716</v>
      </c>
      <c r="G9" s="29">
        <f>F9*'Decarbonization Potential'!$D$51</f>
        <v>-0.25009200975439055</v>
      </c>
    </row>
    <row r="10" spans="1:7" x14ac:dyDescent="0.35">
      <c r="A10" s="117" t="s">
        <v>143</v>
      </c>
      <c r="B10" s="42">
        <f>'Decarbonization Potential'!E26*-1</f>
        <v>-0.17902222959071476</v>
      </c>
      <c r="C10" s="42">
        <f t="shared" si="1"/>
        <v>9.6251276727092048</v>
      </c>
      <c r="D10" s="42">
        <f>G10</f>
        <v>-1.5053784028442334</v>
      </c>
      <c r="E10" s="42">
        <f t="shared" si="0"/>
        <v>8.6848250329281509</v>
      </c>
      <c r="F10" s="29">
        <f>'Decarbonization Potential'!D37*-1</f>
        <v>-1.6090617199999999</v>
      </c>
      <c r="G10" s="29">
        <f>F10*'Decarbonization Potential'!$D$51</f>
        <v>-1.5053784028442334</v>
      </c>
    </row>
    <row r="11" spans="1:7" x14ac:dyDescent="0.35">
      <c r="A11" s="117" t="s">
        <v>145</v>
      </c>
      <c r="B11" s="42">
        <f>'Decarbonization Potential'!E27*-1</f>
        <v>-9.2306291098350673E-2</v>
      </c>
      <c r="C11" s="42">
        <f t="shared" si="1"/>
        <v>9.5328213816108534</v>
      </c>
      <c r="D11" s="42">
        <f t="shared" si="2"/>
        <v>-0.56825794136930718</v>
      </c>
      <c r="E11" s="42">
        <f t="shared" si="0"/>
        <v>8.1165670915588439</v>
      </c>
      <c r="F11" s="29">
        <f>'Decarbonization Potential'!D38*-1</f>
        <v>-0.60739685039706826</v>
      </c>
      <c r="G11" s="29">
        <f>F11*'Decarbonization Potential'!$D$51</f>
        <v>-0.56825794136930718</v>
      </c>
    </row>
    <row r="12" spans="1:7" x14ac:dyDescent="0.35">
      <c r="A12" s="117" t="s">
        <v>147</v>
      </c>
      <c r="B12" s="42">
        <f>'Decarbonization Potential'!E28*-1</f>
        <v>-0.68460499231276739</v>
      </c>
      <c r="C12" s="42">
        <f t="shared" si="1"/>
        <v>8.8482163892980861</v>
      </c>
      <c r="D12" s="42">
        <f t="shared" si="2"/>
        <v>-0.56825794136930718</v>
      </c>
      <c r="E12" s="42">
        <f t="shared" si="0"/>
        <v>7.548309150189537</v>
      </c>
      <c r="F12" s="29">
        <f>'Decarbonization Potential'!D39*-1</f>
        <v>-0.60739685039706826</v>
      </c>
      <c r="G12" s="29">
        <f>F12*'Decarbonization Potential'!$D$51</f>
        <v>-0.56825794136930718</v>
      </c>
    </row>
    <row r="13" spans="1:7" x14ac:dyDescent="0.35">
      <c r="A13" s="117" t="s">
        <v>148</v>
      </c>
      <c r="B13" s="42">
        <f>'Decarbonization Potential'!E29*-1</f>
        <v>-0.53546097925473446</v>
      </c>
      <c r="C13" s="42">
        <f t="shared" si="1"/>
        <v>8.3127554100433514</v>
      </c>
      <c r="D13" s="42">
        <f t="shared" si="2"/>
        <v>-0.83492901869119607</v>
      </c>
      <c r="E13" s="42">
        <f t="shared" si="0"/>
        <v>6.713380131498341</v>
      </c>
      <c r="F13" s="29">
        <f>'Decarbonization Potential'!D40*-1</f>
        <v>-0.8924349654245568</v>
      </c>
      <c r="G13" s="29">
        <f>F13*'Decarbonization Potential'!$D$51</f>
        <v>-0.83492901869119607</v>
      </c>
    </row>
    <row r="14" spans="1:7" x14ac:dyDescent="0.35">
      <c r="A14" s="6" t="s">
        <v>130</v>
      </c>
      <c r="B14" s="41">
        <f>'Decarbonization Potential'!E19*-1</f>
        <v>-2.8158580100000004</v>
      </c>
      <c r="C14" s="41">
        <f t="shared" si="1"/>
        <v>5.496897400043351</v>
      </c>
      <c r="D14" s="41">
        <f>'Decarbonization Potential'!E54*-1</f>
        <v>-4.1175705449907429</v>
      </c>
      <c r="E14" s="41">
        <f t="shared" si="0"/>
        <v>2.5958095865075981</v>
      </c>
    </row>
    <row r="15" spans="1:7" x14ac:dyDescent="0.35">
      <c r="A15" s="6" t="s">
        <v>132</v>
      </c>
      <c r="B15" s="41">
        <f>'Decarbonization Potential'!E20*-1</f>
        <v>-0.33969080755555564</v>
      </c>
      <c r="C15" s="41">
        <f t="shared" si="1"/>
        <v>5.1572065924877952</v>
      </c>
      <c r="D15" s="41">
        <f>'Decarbonization Potential'!E55*-1</f>
        <v>-0.81533197889195352</v>
      </c>
      <c r="E15" s="41">
        <f t="shared" si="0"/>
        <v>1.7804776076156446</v>
      </c>
    </row>
    <row r="16" spans="1:7" x14ac:dyDescent="0.35">
      <c r="A16" s="6" t="s">
        <v>134</v>
      </c>
      <c r="B16" s="41">
        <f>'Decarbonization Potential'!E21*-1</f>
        <v>-0.24135925800000005</v>
      </c>
      <c r="C16" s="41">
        <f t="shared" si="1"/>
        <v>4.9158473344877951</v>
      </c>
      <c r="D16" s="41">
        <f>'Decarbonization Potential'!E56*-1</f>
        <v>-1.443396895494236</v>
      </c>
      <c r="E16" s="41">
        <f t="shared" si="0"/>
        <v>0.33708071212140855</v>
      </c>
    </row>
    <row r="17" spans="1:7" x14ac:dyDescent="0.35">
      <c r="A17" s="6" t="s">
        <v>141</v>
      </c>
      <c r="B17" s="41">
        <f>'Decarbonization Potential'!E25*-1</f>
        <v>-2.8266667830112863E-2</v>
      </c>
      <c r="C17" s="41">
        <f>C16+B17</f>
        <v>4.8875806666576826</v>
      </c>
      <c r="D17" s="41">
        <f>'Decarbonization Potential'!E57*-1</f>
        <v>-0.33708071212140839</v>
      </c>
      <c r="E17" s="41">
        <f t="shared" si="0"/>
        <v>0</v>
      </c>
    </row>
    <row r="18" spans="1:7" x14ac:dyDescent="0.35">
      <c r="B18" s="111"/>
      <c r="E18" s="111"/>
    </row>
    <row r="19" spans="1:7" x14ac:dyDescent="0.35">
      <c r="A19" s="131" t="s">
        <v>246</v>
      </c>
      <c r="B19" s="119" t="s">
        <v>295</v>
      </c>
      <c r="C19" s="119" t="s">
        <v>294</v>
      </c>
      <c r="D19" s="111"/>
      <c r="E19" s="111"/>
      <c r="F19" s="111"/>
      <c r="G19" s="111"/>
    </row>
    <row r="20" spans="1:7" x14ac:dyDescent="0.35">
      <c r="A20" s="130" t="s">
        <v>291</v>
      </c>
      <c r="B20" s="29">
        <f>SUM(B7:B13)*-1</f>
        <v>3.0661404548802951</v>
      </c>
      <c r="C20" s="29">
        <f>SUM(B14:B17)*-1</f>
        <v>3.4251747433856692</v>
      </c>
      <c r="E20" s="111"/>
      <c r="F20" s="111"/>
      <c r="G20" s="111"/>
    </row>
    <row r="21" spans="1:7" x14ac:dyDescent="0.35">
      <c r="A21" s="130" t="s">
        <v>271</v>
      </c>
      <c r="B21" s="29">
        <f>SUM(D7:D13)*-1</f>
        <v>4.6655157334253063</v>
      </c>
      <c r="C21" s="29">
        <f>SUM(D14:D17)*-1</f>
        <v>6.713380131498341</v>
      </c>
    </row>
    <row r="22" spans="1:7" x14ac:dyDescent="0.35">
      <c r="B22" s="111"/>
    </row>
    <row r="23" spans="1:7" x14ac:dyDescent="0.35">
      <c r="B23" s="111"/>
    </row>
  </sheetData>
  <mergeCells count="4">
    <mergeCell ref="B2:C2"/>
    <mergeCell ref="D2:E2"/>
    <mergeCell ref="F2:F6"/>
    <mergeCell ref="G2:G6"/>
  </mergeCells>
  <pageMargins left="0.7" right="0.7" top="0.75" bottom="0.75" header="0.3" footer="0.3"/>
  <pageSetup orientation="portrait" r:id="rId1"/>
  <ignoredErrors>
    <ignoredError sqref="D5 D8:D9 D11:D1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="50" zoomScaleNormal="50" workbookViewId="0">
      <selection activeCell="Q42" sqref="Q42"/>
    </sheetView>
  </sheetViews>
  <sheetFormatPr defaultColWidth="9.26953125" defaultRowHeight="18.5" x14ac:dyDescent="0.45"/>
  <cols>
    <col min="1" max="11" width="27" style="31" customWidth="1"/>
    <col min="12" max="12" width="43.7265625" style="31" customWidth="1"/>
    <col min="13" max="14" width="27" style="31" customWidth="1"/>
    <col min="15" max="15" width="15.08984375" style="31" customWidth="1"/>
    <col min="16" max="16" width="7.54296875" style="31" bestFit="1" customWidth="1"/>
    <col min="17" max="17" width="13" style="31" customWidth="1"/>
    <col min="18" max="16384" width="9.26953125" style="31"/>
  </cols>
  <sheetData>
    <row r="1" spans="1:13" x14ac:dyDescent="0.45">
      <c r="C1" s="269" t="s">
        <v>192</v>
      </c>
      <c r="D1" s="269"/>
      <c r="E1" s="269"/>
      <c r="F1" s="269"/>
      <c r="G1" s="285" t="s">
        <v>193</v>
      </c>
      <c r="H1" s="285"/>
      <c r="I1" s="285"/>
      <c r="J1" s="285"/>
      <c r="K1" s="285" t="s">
        <v>315</v>
      </c>
      <c r="L1" s="285"/>
      <c r="M1" s="285"/>
    </row>
    <row r="2" spans="1:13" x14ac:dyDescent="0.45">
      <c r="C2" s="286" t="s">
        <v>270</v>
      </c>
      <c r="D2" s="286"/>
      <c r="E2" s="286" t="s">
        <v>274</v>
      </c>
      <c r="F2" s="286"/>
      <c r="G2" s="285"/>
      <c r="H2" s="285"/>
      <c r="I2" s="285"/>
      <c r="J2" s="285"/>
      <c r="K2" s="285"/>
      <c r="L2" s="285"/>
      <c r="M2" s="285"/>
    </row>
    <row r="3" spans="1:13" x14ac:dyDescent="0.45">
      <c r="A3" s="115" t="s">
        <v>169</v>
      </c>
      <c r="B3" s="163" t="s">
        <v>314</v>
      </c>
      <c r="C3" s="162" t="s">
        <v>272</v>
      </c>
      <c r="D3" s="113" t="s">
        <v>273</v>
      </c>
      <c r="E3" s="162" t="s">
        <v>272</v>
      </c>
      <c r="F3" s="113" t="s">
        <v>273</v>
      </c>
      <c r="G3" s="162" t="s">
        <v>270</v>
      </c>
      <c r="H3" s="113" t="s">
        <v>271</v>
      </c>
      <c r="I3" s="138" t="s">
        <v>168</v>
      </c>
      <c r="J3" s="138" t="s">
        <v>240</v>
      </c>
      <c r="K3" s="203" t="s">
        <v>283</v>
      </c>
      <c r="L3" s="202" t="s">
        <v>285</v>
      </c>
      <c r="M3" s="204" t="s">
        <v>284</v>
      </c>
    </row>
    <row r="4" spans="1:13" x14ac:dyDescent="0.45">
      <c r="A4" s="53">
        <v>2025</v>
      </c>
      <c r="B4" s="53">
        <v>0</v>
      </c>
      <c r="C4" s="209">
        <v>0</v>
      </c>
      <c r="D4" s="53">
        <v>0</v>
      </c>
      <c r="E4" s="209">
        <v>0</v>
      </c>
      <c r="F4" s="53">
        <v>0</v>
      </c>
      <c r="G4" s="116">
        <f t="shared" ref="G4:G28" si="0">I4-C4-D4</f>
        <v>9.4824132207697041</v>
      </c>
      <c r="H4" s="116">
        <f>G4</f>
        <v>9.4824132207697041</v>
      </c>
      <c r="I4" s="116">
        <f>'Carbon Intensity'!F34*'Material Flow Analysis'!B30+'Carbon Intensity'!G28*'Material Flow Analysis'!B29*0.2</f>
        <v>9.4824132207697041</v>
      </c>
      <c r="J4" s="116">
        <f>I4</f>
        <v>9.4824132207697041</v>
      </c>
      <c r="K4" s="116">
        <f t="shared" ref="K4:K29" si="1">0.306782*(EXP(0.1*B4)-1)</f>
        <v>0</v>
      </c>
      <c r="L4" s="116">
        <v>1E-3</v>
      </c>
      <c r="M4" s="116">
        <v>1E-3</v>
      </c>
    </row>
    <row r="5" spans="1:13" x14ac:dyDescent="0.45">
      <c r="A5" s="53">
        <v>2026</v>
      </c>
      <c r="B5" s="53">
        <v>1</v>
      </c>
      <c r="C5" s="116">
        <f t="shared" ref="C5:C28" si="2">C4+$C$29/25</f>
        <v>0.1226456181952118</v>
      </c>
      <c r="D5" s="139">
        <f t="shared" ref="D5:D28" si="3">D4+($D$29/($A$29-$A$4))</f>
        <v>0.13700698973542677</v>
      </c>
      <c r="E5" s="116">
        <f t="shared" ref="E5:E28" si="4">E4+$E$29/25</f>
        <v>0.18662062933701226</v>
      </c>
      <c r="F5" s="139">
        <f t="shared" ref="F5:F28" si="5">F4+($F$29/($A$29-$A$4))</f>
        <v>0.26853520525993363</v>
      </c>
      <c r="G5" s="116">
        <f t="shared" si="0"/>
        <v>9.2986199186052207</v>
      </c>
      <c r="H5" s="116">
        <f t="shared" ref="H5:H29" si="6">I5-F5-E5</f>
        <v>9.103116691938915</v>
      </c>
      <c r="I5" s="116">
        <f t="shared" ref="I5:I28" si="7">($I$29-$I$4)/25+I4</f>
        <v>9.5582725265358608</v>
      </c>
      <c r="J5" s="116">
        <f>J4-(($J$4-$J$9)/5)</f>
        <v>8.3445236342773388</v>
      </c>
      <c r="K5" s="116">
        <f t="shared" si="1"/>
        <v>3.2264544589083358E-2</v>
      </c>
      <c r="L5" s="116">
        <f t="shared" ref="L5:L29" si="8">$L$4*($L$34^B5)</f>
        <v>1.4046358790142392E-3</v>
      </c>
      <c r="M5" s="116">
        <f>('Decarbonization Waterfall'!$B$20*(1-($L$33^-B5)))</f>
        <v>0.84217332820087865</v>
      </c>
    </row>
    <row r="6" spans="1:13" x14ac:dyDescent="0.45">
      <c r="A6" s="53">
        <v>2027</v>
      </c>
      <c r="B6" s="53">
        <v>2</v>
      </c>
      <c r="C6" s="116">
        <f t="shared" si="2"/>
        <v>0.24529123639042361</v>
      </c>
      <c r="D6" s="139">
        <f t="shared" si="3"/>
        <v>0.27401397947085354</v>
      </c>
      <c r="E6" s="116">
        <f t="shared" si="4"/>
        <v>0.37324125867402452</v>
      </c>
      <c r="F6" s="139">
        <f t="shared" si="5"/>
        <v>0.53707041051986726</v>
      </c>
      <c r="G6" s="116">
        <f t="shared" si="0"/>
        <v>9.114826616440741</v>
      </c>
      <c r="H6" s="116">
        <f t="shared" si="6"/>
        <v>8.723820163108126</v>
      </c>
      <c r="I6" s="116">
        <f t="shared" si="7"/>
        <v>9.6341318323020175</v>
      </c>
      <c r="J6" s="116">
        <f>J5-(($J$4-$J$9)/5)</f>
        <v>7.2066340477849744</v>
      </c>
      <c r="K6" s="116">
        <f t="shared" si="1"/>
        <v>6.7922380953893233E-2</v>
      </c>
      <c r="L6" s="116">
        <f t="shared" si="8"/>
        <v>1.9730019526141046E-3</v>
      </c>
      <c r="M6" s="116">
        <f>('Decarbonization Waterfall'!$B$20*(1-($L$33^-B6)))</f>
        <v>1.4530278615944152</v>
      </c>
    </row>
    <row r="7" spans="1:13" x14ac:dyDescent="0.45">
      <c r="A7" s="53">
        <v>2028</v>
      </c>
      <c r="B7" s="53">
        <v>3</v>
      </c>
      <c r="C7" s="116">
        <f t="shared" si="2"/>
        <v>0.36793685458563541</v>
      </c>
      <c r="D7" s="139">
        <f t="shared" si="3"/>
        <v>0.41102096920628028</v>
      </c>
      <c r="E7" s="116">
        <f t="shared" si="4"/>
        <v>0.55986188801103676</v>
      </c>
      <c r="F7" s="139">
        <f t="shared" si="5"/>
        <v>0.80560561577980083</v>
      </c>
      <c r="G7" s="116">
        <f t="shared" si="0"/>
        <v>8.9310333142762595</v>
      </c>
      <c r="H7" s="116">
        <f t="shared" si="6"/>
        <v>8.344523634277337</v>
      </c>
      <c r="I7" s="116">
        <f t="shared" si="7"/>
        <v>9.7099911380681743</v>
      </c>
      <c r="J7" s="139">
        <f>J6-(($J$4-$J$9)/5)</f>
        <v>6.06874446129261</v>
      </c>
      <c r="K7" s="116">
        <f t="shared" si="1"/>
        <v>0.10733038470578141</v>
      </c>
      <c r="L7" s="116">
        <f t="shared" si="8"/>
        <v>2.771349332006923E-3</v>
      </c>
      <c r="M7" s="116">
        <f>('Decarbonization Waterfall'!$B$20*(1-($L$33^-B7)))</f>
        <v>1.8960996717223559</v>
      </c>
    </row>
    <row r="8" spans="1:13" x14ac:dyDescent="0.45">
      <c r="A8" s="53">
        <v>2029</v>
      </c>
      <c r="B8" s="53">
        <v>4</v>
      </c>
      <c r="C8" s="116">
        <f t="shared" si="2"/>
        <v>0.49058247278084721</v>
      </c>
      <c r="D8" s="139">
        <f t="shared" si="3"/>
        <v>0.54802795894170708</v>
      </c>
      <c r="E8" s="116">
        <f t="shared" si="4"/>
        <v>0.74648251734804905</v>
      </c>
      <c r="F8" s="139">
        <f t="shared" si="5"/>
        <v>1.0741408210397345</v>
      </c>
      <c r="G8" s="116">
        <f t="shared" si="0"/>
        <v>8.7472400121117762</v>
      </c>
      <c r="H8" s="116">
        <f t="shared" si="6"/>
        <v>7.965227105446548</v>
      </c>
      <c r="I8" s="116">
        <f t="shared" si="7"/>
        <v>9.785850443834331</v>
      </c>
      <c r="J8" s="139">
        <f>J7-(($J$4-$J$9)/5)</f>
        <v>4.9308548748002456</v>
      </c>
      <c r="K8" s="116">
        <f t="shared" si="1"/>
        <v>0.1508829643917842</v>
      </c>
      <c r="L8" s="116">
        <f t="shared" si="8"/>
        <v>3.8927367050190691E-3</v>
      </c>
      <c r="M8" s="116">
        <f>('Decarbonization Waterfall'!$B$20*(1-($L$33^-B8)))</f>
        <v>2.217473449272072</v>
      </c>
    </row>
    <row r="9" spans="1:13" x14ac:dyDescent="0.45">
      <c r="A9" s="53">
        <v>2030</v>
      </c>
      <c r="B9" s="53">
        <v>5</v>
      </c>
      <c r="C9" s="116">
        <f t="shared" si="2"/>
        <v>0.61322809097605901</v>
      </c>
      <c r="D9" s="139">
        <f t="shared" si="3"/>
        <v>0.68503494867713388</v>
      </c>
      <c r="E9" s="116">
        <f t="shared" si="4"/>
        <v>0.93310314668506134</v>
      </c>
      <c r="F9" s="139">
        <f t="shared" si="5"/>
        <v>1.3426760262996682</v>
      </c>
      <c r="G9" s="116">
        <f t="shared" si="0"/>
        <v>8.5634467099472946</v>
      </c>
      <c r="H9" s="116">
        <f t="shared" si="6"/>
        <v>7.5859305766157572</v>
      </c>
      <c r="I9" s="116">
        <f t="shared" si="7"/>
        <v>9.8617097496004877</v>
      </c>
      <c r="J9" s="139">
        <f>J4*0.4</f>
        <v>3.7929652883078817</v>
      </c>
      <c r="K9" s="116">
        <f t="shared" si="1"/>
        <v>0.19901600886792672</v>
      </c>
      <c r="L9" s="116">
        <f t="shared" si="8"/>
        <v>5.4678776434254539E-3</v>
      </c>
      <c r="M9" s="116">
        <f>('Decarbonization Waterfall'!$B$20*(1-($L$33^-B9)))</f>
        <v>2.4505758551027448</v>
      </c>
    </row>
    <row r="10" spans="1:13" x14ac:dyDescent="0.45">
      <c r="A10" s="53">
        <v>2031</v>
      </c>
      <c r="B10" s="53">
        <v>6</v>
      </c>
      <c r="C10" s="116">
        <f t="shared" si="2"/>
        <v>0.73587370917127082</v>
      </c>
      <c r="D10" s="139">
        <f t="shared" si="3"/>
        <v>0.82204193841256068</v>
      </c>
      <c r="E10" s="116">
        <f t="shared" si="4"/>
        <v>1.1197237760220735</v>
      </c>
      <c r="F10" s="139">
        <f t="shared" si="5"/>
        <v>1.6112112315596019</v>
      </c>
      <c r="G10" s="116">
        <f t="shared" si="0"/>
        <v>8.3796534077828131</v>
      </c>
      <c r="H10" s="116">
        <f t="shared" si="6"/>
        <v>7.2066340477849682</v>
      </c>
      <c r="I10" s="116">
        <f t="shared" si="7"/>
        <v>9.9375690553666445</v>
      </c>
      <c r="J10" s="139">
        <f t="shared" ref="J10:J18" si="9">J9-($J$9-$J$19)/10</f>
        <v>3.6033170238924876</v>
      </c>
      <c r="K10" s="116">
        <f t="shared" si="1"/>
        <v>0.25221124982140114</v>
      </c>
      <c r="L10" s="116">
        <f t="shared" si="8"/>
        <v>7.6803771200152186E-3</v>
      </c>
      <c r="M10" s="116">
        <f>('Decarbonization Waterfall'!$B$20*(1-($L$33^-B10)))</f>
        <v>2.6196522869707497</v>
      </c>
    </row>
    <row r="11" spans="1:13" x14ac:dyDescent="0.45">
      <c r="A11" s="53">
        <v>2032</v>
      </c>
      <c r="B11" s="53">
        <v>7</v>
      </c>
      <c r="C11" s="116">
        <f t="shared" si="2"/>
        <v>0.85851932736648262</v>
      </c>
      <c r="D11" s="139">
        <f t="shared" si="3"/>
        <v>0.95904892814798748</v>
      </c>
      <c r="E11" s="116">
        <f t="shared" si="4"/>
        <v>1.3063444053590858</v>
      </c>
      <c r="F11" s="139">
        <f t="shared" si="5"/>
        <v>1.8797464368195356</v>
      </c>
      <c r="G11" s="116">
        <f t="shared" si="0"/>
        <v>8.1958601056183316</v>
      </c>
      <c r="H11" s="116">
        <f t="shared" si="6"/>
        <v>6.8273375189541792</v>
      </c>
      <c r="I11" s="116">
        <f t="shared" si="7"/>
        <v>10.013428361132801</v>
      </c>
      <c r="J11" s="139">
        <f t="shared" si="9"/>
        <v>3.4136687594770936</v>
      </c>
      <c r="K11" s="116">
        <f t="shared" si="1"/>
        <v>0.31100108310320779</v>
      </c>
      <c r="L11" s="116">
        <f t="shared" si="8"/>
        <v>1.0788133267133428E-2</v>
      </c>
      <c r="M11" s="116">
        <f>('Decarbonization Waterfall'!$B$20*(1-($L$33^-B11)))</f>
        <v>2.7422886866738985</v>
      </c>
    </row>
    <row r="12" spans="1:13" x14ac:dyDescent="0.45">
      <c r="A12" s="53">
        <v>2033</v>
      </c>
      <c r="B12" s="53">
        <v>8</v>
      </c>
      <c r="C12" s="116">
        <f t="shared" si="2"/>
        <v>0.98116494556169442</v>
      </c>
      <c r="D12" s="139">
        <f t="shared" si="3"/>
        <v>1.0960559178834142</v>
      </c>
      <c r="E12" s="116">
        <f t="shared" si="4"/>
        <v>1.4929650346960981</v>
      </c>
      <c r="F12" s="139">
        <f t="shared" si="5"/>
        <v>2.148281642079469</v>
      </c>
      <c r="G12" s="116">
        <f t="shared" si="0"/>
        <v>8.01206680345385</v>
      </c>
      <c r="H12" s="116">
        <f t="shared" si="6"/>
        <v>6.4480409901233902</v>
      </c>
      <c r="I12" s="116">
        <f t="shared" si="7"/>
        <v>10.089287666898958</v>
      </c>
      <c r="J12" s="139">
        <f t="shared" si="9"/>
        <v>3.2240204950616995</v>
      </c>
      <c r="K12" s="116">
        <f t="shared" si="1"/>
        <v>0.3759738971247763</v>
      </c>
      <c r="L12" s="116">
        <f t="shared" si="8"/>
        <v>1.515339905460272E-2</v>
      </c>
      <c r="M12" s="116">
        <f>('Decarbonization Waterfall'!$B$20*(1-($L$33^-B12)))</f>
        <v>2.8312406852817928</v>
      </c>
    </row>
    <row r="13" spans="1:13" x14ac:dyDescent="0.45">
      <c r="A13" s="53">
        <v>2034</v>
      </c>
      <c r="B13" s="53">
        <v>9</v>
      </c>
      <c r="C13" s="116">
        <f t="shared" si="2"/>
        <v>1.1038105637569062</v>
      </c>
      <c r="D13" s="139">
        <f t="shared" si="3"/>
        <v>1.2330629076188409</v>
      </c>
      <c r="E13" s="116">
        <f t="shared" si="4"/>
        <v>1.6795856640331104</v>
      </c>
      <c r="F13" s="139">
        <f t="shared" si="5"/>
        <v>2.4168168473394025</v>
      </c>
      <c r="G13" s="116">
        <f t="shared" si="0"/>
        <v>7.8282735012893667</v>
      </c>
      <c r="H13" s="116">
        <f t="shared" si="6"/>
        <v>6.0687444612926011</v>
      </c>
      <c r="I13" s="116">
        <f t="shared" si="7"/>
        <v>10.165146972665115</v>
      </c>
      <c r="J13" s="139">
        <f t="shared" si="9"/>
        <v>3.0343722306463055</v>
      </c>
      <c r="K13" s="116">
        <f t="shared" si="1"/>
        <v>0.44777996164695139</v>
      </c>
      <c r="L13" s="116">
        <f t="shared" si="8"/>
        <v>2.1285008001115432E-2</v>
      </c>
      <c r="M13" s="116">
        <f>('Decarbonization Waterfall'!$B$20*(1-($L$33^-B13)))</f>
        <v>2.8957603391161482</v>
      </c>
    </row>
    <row r="14" spans="1:13" x14ac:dyDescent="0.45">
      <c r="A14" s="53">
        <v>2035</v>
      </c>
      <c r="B14" s="53">
        <v>10</v>
      </c>
      <c r="C14" s="116">
        <f t="shared" si="2"/>
        <v>1.226456181952118</v>
      </c>
      <c r="D14" s="139">
        <f t="shared" si="3"/>
        <v>1.3700698973542675</v>
      </c>
      <c r="E14" s="116">
        <f t="shared" si="4"/>
        <v>1.8662062933701227</v>
      </c>
      <c r="F14" s="139">
        <f t="shared" si="5"/>
        <v>2.685352052599336</v>
      </c>
      <c r="G14" s="116">
        <f t="shared" si="0"/>
        <v>7.6444801991248861</v>
      </c>
      <c r="H14" s="116">
        <f t="shared" si="6"/>
        <v>5.6894479324618121</v>
      </c>
      <c r="I14" s="116">
        <f t="shared" si="7"/>
        <v>10.241006278431271</v>
      </c>
      <c r="J14" s="139">
        <f t="shared" si="9"/>
        <v>2.8447239662309114</v>
      </c>
      <c r="K14" s="116">
        <f t="shared" si="1"/>
        <v>0.52713793589832281</v>
      </c>
      <c r="L14" s="116">
        <f t="shared" si="8"/>
        <v>2.9897685923471889E-2</v>
      </c>
      <c r="M14" s="116">
        <f>('Decarbonization Waterfall'!$B$20*(1-($L$33^-B14)))</f>
        <v>2.9425584526611277</v>
      </c>
    </row>
    <row r="15" spans="1:13" x14ac:dyDescent="0.45">
      <c r="A15" s="53">
        <v>2036</v>
      </c>
      <c r="B15" s="53">
        <v>11</v>
      </c>
      <c r="C15" s="116">
        <f t="shared" si="2"/>
        <v>1.3491018001473298</v>
      </c>
      <c r="D15" s="139">
        <f t="shared" si="3"/>
        <v>1.5070768870896942</v>
      </c>
      <c r="E15" s="116">
        <f t="shared" si="4"/>
        <v>2.0528269227071347</v>
      </c>
      <c r="F15" s="139">
        <f t="shared" si="5"/>
        <v>2.9538872578592694</v>
      </c>
      <c r="G15" s="116">
        <f t="shared" si="0"/>
        <v>7.4606868969604054</v>
      </c>
      <c r="H15" s="116">
        <f t="shared" si="6"/>
        <v>5.3101514036310231</v>
      </c>
      <c r="I15" s="116">
        <f t="shared" si="7"/>
        <v>10.316865584197428</v>
      </c>
      <c r="J15" s="139">
        <f t="shared" si="9"/>
        <v>2.6550757018155173</v>
      </c>
      <c r="K15" s="116">
        <f t="shared" si="1"/>
        <v>0.61484206115833473</v>
      </c>
      <c r="L15" s="116">
        <f t="shared" si="8"/>
        <v>4.199536234760759E-2</v>
      </c>
      <c r="M15" s="116">
        <f>('Decarbonization Waterfall'!$B$20*(1-($L$33^-B15)))</f>
        <v>2.9765025813291368</v>
      </c>
    </row>
    <row r="16" spans="1:13" x14ac:dyDescent="0.45">
      <c r="A16" s="53">
        <v>2037</v>
      </c>
      <c r="B16" s="53">
        <v>12</v>
      </c>
      <c r="C16" s="116">
        <f t="shared" si="2"/>
        <v>1.4717474183425416</v>
      </c>
      <c r="D16" s="139">
        <f t="shared" si="3"/>
        <v>1.6440838768251209</v>
      </c>
      <c r="E16" s="116">
        <f t="shared" si="4"/>
        <v>2.239447552044147</v>
      </c>
      <c r="F16" s="139">
        <f t="shared" si="5"/>
        <v>3.2224224631192029</v>
      </c>
      <c r="G16" s="116">
        <f t="shared" si="0"/>
        <v>7.2768935947959221</v>
      </c>
      <c r="H16" s="116">
        <f t="shared" si="6"/>
        <v>4.9308548748002341</v>
      </c>
      <c r="I16" s="116">
        <f t="shared" si="7"/>
        <v>10.392724889963585</v>
      </c>
      <c r="J16" s="139">
        <f t="shared" si="9"/>
        <v>2.4654274374001233</v>
      </c>
      <c r="K16" s="116">
        <f t="shared" si="1"/>
        <v>0.71177010979096367</v>
      </c>
      <c r="L16" s="116">
        <f t="shared" si="8"/>
        <v>5.8988192705653267E-2</v>
      </c>
      <c r="M16" s="116">
        <f>('Decarbonization Waterfall'!$B$20*(1-($L$33^-B16)))</f>
        <v>3.0011233145970051</v>
      </c>
    </row>
    <row r="17" spans="1:16" x14ac:dyDescent="0.45">
      <c r="A17" s="53">
        <v>2038</v>
      </c>
      <c r="B17" s="53">
        <v>13</v>
      </c>
      <c r="C17" s="116">
        <f t="shared" si="2"/>
        <v>1.5943930365377534</v>
      </c>
      <c r="D17" s="139">
        <f t="shared" si="3"/>
        <v>1.7810908665605476</v>
      </c>
      <c r="E17" s="116">
        <f t="shared" si="4"/>
        <v>2.4260681813811593</v>
      </c>
      <c r="F17" s="139">
        <f t="shared" si="5"/>
        <v>3.4909576683791363</v>
      </c>
      <c r="G17" s="116">
        <f t="shared" si="0"/>
        <v>7.0931002926314397</v>
      </c>
      <c r="H17" s="116">
        <f t="shared" si="6"/>
        <v>4.5515583459694451</v>
      </c>
      <c r="I17" s="116">
        <f t="shared" si="7"/>
        <v>10.468584195729742</v>
      </c>
      <c r="J17" s="139">
        <f t="shared" si="9"/>
        <v>2.2757791729847292</v>
      </c>
      <c r="K17" s="116">
        <f t="shared" si="1"/>
        <v>0.81889217028556704</v>
      </c>
      <c r="L17" s="116">
        <f t="shared" si="8"/>
        <v>8.2856931912566628E-2</v>
      </c>
      <c r="M17" s="116">
        <f>('Decarbonization Waterfall'!$B$20*(1-($L$33^-B17)))</f>
        <v>3.0189814989262094</v>
      </c>
    </row>
    <row r="18" spans="1:16" x14ac:dyDescent="0.45">
      <c r="A18" s="53">
        <v>2039</v>
      </c>
      <c r="B18" s="53">
        <v>14</v>
      </c>
      <c r="C18" s="116">
        <f t="shared" si="2"/>
        <v>1.7170386547329652</v>
      </c>
      <c r="D18" s="139">
        <f t="shared" si="3"/>
        <v>1.9180978562959743</v>
      </c>
      <c r="E18" s="116">
        <f t="shared" si="4"/>
        <v>2.6126888107181716</v>
      </c>
      <c r="F18" s="139">
        <f t="shared" si="5"/>
        <v>3.7594928736390698</v>
      </c>
      <c r="G18" s="116">
        <f t="shared" si="0"/>
        <v>6.9093069904669591</v>
      </c>
      <c r="H18" s="116">
        <f t="shared" si="6"/>
        <v>4.1722618171386561</v>
      </c>
      <c r="I18" s="116">
        <f t="shared" si="7"/>
        <v>10.544443501495898</v>
      </c>
      <c r="J18" s="139">
        <f t="shared" si="9"/>
        <v>2.0861309085693351</v>
      </c>
      <c r="K18" s="116">
        <f t="shared" si="1"/>
        <v>0.93728035622854322</v>
      </c>
      <c r="L18" s="116">
        <f t="shared" si="8"/>
        <v>0.11638381938943097</v>
      </c>
      <c r="M18" s="116">
        <f>('Decarbonization Waterfall'!$B$20*(1-($L$33^-B18)))</f>
        <v>3.0319345959792536</v>
      </c>
    </row>
    <row r="19" spans="1:16" x14ac:dyDescent="0.45">
      <c r="A19" s="53">
        <v>2040</v>
      </c>
      <c r="B19" s="53">
        <v>15</v>
      </c>
      <c r="C19" s="116">
        <f t="shared" si="2"/>
        <v>1.839684272928177</v>
      </c>
      <c r="D19" s="139">
        <f t="shared" si="3"/>
        <v>2.055104846031401</v>
      </c>
      <c r="E19" s="116">
        <f t="shared" si="4"/>
        <v>2.7993094400551839</v>
      </c>
      <c r="F19" s="139">
        <f t="shared" si="5"/>
        <v>4.0280280788990037</v>
      </c>
      <c r="G19" s="116">
        <f t="shared" si="0"/>
        <v>6.7255136883024775</v>
      </c>
      <c r="H19" s="116">
        <f t="shared" si="6"/>
        <v>3.7929652883078675</v>
      </c>
      <c r="I19" s="116">
        <f t="shared" si="7"/>
        <v>10.620302807262055</v>
      </c>
      <c r="J19" s="139">
        <f>J4*0.2</f>
        <v>1.8964826441539409</v>
      </c>
      <c r="K19" s="116">
        <f t="shared" si="1"/>
        <v>1.0681195363764522</v>
      </c>
      <c r="L19" s="116">
        <f t="shared" si="8"/>
        <v>0.16347688845110783</v>
      </c>
      <c r="M19" s="116">
        <f>('Decarbonization Waterfall'!$B$20*(1-($L$33^-B19)))</f>
        <v>3.0413298805262508</v>
      </c>
    </row>
    <row r="20" spans="1:16" x14ac:dyDescent="0.45">
      <c r="A20" s="53">
        <v>2041</v>
      </c>
      <c r="B20" s="53">
        <v>16</v>
      </c>
      <c r="C20" s="116">
        <f t="shared" si="2"/>
        <v>1.9623298911233888</v>
      </c>
      <c r="D20" s="139">
        <f t="shared" si="3"/>
        <v>2.1921118357668279</v>
      </c>
      <c r="E20" s="116">
        <f t="shared" si="4"/>
        <v>2.9859300693921962</v>
      </c>
      <c r="F20" s="139">
        <f t="shared" si="5"/>
        <v>4.2965632841589372</v>
      </c>
      <c r="G20" s="116">
        <f t="shared" si="0"/>
        <v>6.5417203861379951</v>
      </c>
      <c r="H20" s="116">
        <f t="shared" si="6"/>
        <v>3.4136687594770785</v>
      </c>
      <c r="I20" s="116">
        <f t="shared" si="7"/>
        <v>10.696162113028212</v>
      </c>
      <c r="J20" s="139">
        <f t="shared" ref="J20:J28" si="10">J19-($J$19-$J$29)/10</f>
        <v>1.7068343797385468</v>
      </c>
      <c r="K20" s="116">
        <f t="shared" si="1"/>
        <v>1.2127191932207821</v>
      </c>
      <c r="L20" s="116">
        <f t="shared" si="8"/>
        <v>0.22962550290803457</v>
      </c>
      <c r="M20" s="116">
        <f>('Decarbonization Waterfall'!$B$20*(1-($L$33^-B20)))</f>
        <v>3.0481445729011756</v>
      </c>
    </row>
    <row r="21" spans="1:16" x14ac:dyDescent="0.45">
      <c r="A21" s="53">
        <v>2042</v>
      </c>
      <c r="B21" s="53">
        <v>17</v>
      </c>
      <c r="C21" s="116">
        <f t="shared" si="2"/>
        <v>2.0849755093186007</v>
      </c>
      <c r="D21" s="139">
        <f t="shared" si="3"/>
        <v>2.3291188255022548</v>
      </c>
      <c r="E21" s="116">
        <f t="shared" si="4"/>
        <v>3.1725506987292085</v>
      </c>
      <c r="F21" s="139">
        <f t="shared" si="5"/>
        <v>4.5650984894188706</v>
      </c>
      <c r="G21" s="116">
        <f t="shared" si="0"/>
        <v>6.3579270839735127</v>
      </c>
      <c r="H21" s="116">
        <f t="shared" si="6"/>
        <v>3.0343722306462895</v>
      </c>
      <c r="I21" s="116">
        <f t="shared" si="7"/>
        <v>10.772021418794369</v>
      </c>
      <c r="J21" s="139">
        <f t="shared" si="10"/>
        <v>1.5171861153231527</v>
      </c>
      <c r="K21" s="116">
        <f t="shared" si="1"/>
        <v>1.3725265287288542</v>
      </c>
      <c r="L21" s="116">
        <f t="shared" si="8"/>
        <v>0.32254022012131389</v>
      </c>
      <c r="M21" s="116">
        <f>('Decarbonization Waterfall'!$B$20*(1-($L$33^-B21)))</f>
        <v>3.0530874814349782</v>
      </c>
    </row>
    <row r="22" spans="1:16" x14ac:dyDescent="0.45">
      <c r="A22" s="53">
        <v>2043</v>
      </c>
      <c r="B22" s="53">
        <v>18</v>
      </c>
      <c r="C22" s="116">
        <f t="shared" si="2"/>
        <v>2.2076211275138125</v>
      </c>
      <c r="D22" s="139">
        <f t="shared" si="3"/>
        <v>2.4661258152376817</v>
      </c>
      <c r="E22" s="116">
        <f t="shared" si="4"/>
        <v>3.3591713280662208</v>
      </c>
      <c r="F22" s="139">
        <f t="shared" si="5"/>
        <v>4.8336336946788041</v>
      </c>
      <c r="G22" s="116">
        <f t="shared" si="0"/>
        <v>6.1741337818090312</v>
      </c>
      <c r="H22" s="116">
        <f t="shared" si="6"/>
        <v>2.6550757018155005</v>
      </c>
      <c r="I22" s="116">
        <f t="shared" si="7"/>
        <v>10.847880724560525</v>
      </c>
      <c r="J22" s="139">
        <f t="shared" si="10"/>
        <v>1.3275378509077587</v>
      </c>
      <c r="K22" s="116">
        <f t="shared" si="1"/>
        <v>1.5491409484275325</v>
      </c>
      <c r="L22" s="116">
        <f t="shared" si="8"/>
        <v>0.45305156560754795</v>
      </c>
      <c r="M22" s="116">
        <f>('Decarbonization Waterfall'!$B$20*(1-($L$33^-B22)))</f>
        <v>3.0566727268766418</v>
      </c>
    </row>
    <row r="23" spans="1:16" x14ac:dyDescent="0.45">
      <c r="A23" s="53">
        <v>2044</v>
      </c>
      <c r="B23" s="53">
        <v>19</v>
      </c>
      <c r="C23" s="116">
        <f t="shared" si="2"/>
        <v>2.3302667457090243</v>
      </c>
      <c r="D23" s="139">
        <f t="shared" si="3"/>
        <v>2.6031328049731086</v>
      </c>
      <c r="E23" s="116">
        <f t="shared" si="4"/>
        <v>3.5457919574032331</v>
      </c>
      <c r="F23" s="139">
        <f t="shared" si="5"/>
        <v>5.1021688999387376</v>
      </c>
      <c r="G23" s="116">
        <f t="shared" si="0"/>
        <v>5.9903404796445496</v>
      </c>
      <c r="H23" s="116">
        <f t="shared" si="6"/>
        <v>2.2757791729847114</v>
      </c>
      <c r="I23" s="116">
        <f t="shared" si="7"/>
        <v>10.923740030326682</v>
      </c>
      <c r="J23" s="139">
        <f t="shared" si="10"/>
        <v>1.1378895864923646</v>
      </c>
      <c r="K23" s="116">
        <f t="shared" si="1"/>
        <v>1.744330068791319</v>
      </c>
      <c r="L23" s="116">
        <f t="shared" si="8"/>
        <v>0.63637248409593539</v>
      </c>
      <c r="M23" s="116">
        <f>('Decarbonization Waterfall'!$B$20*(1-($L$33^-B23)))</f>
        <v>3.059273217010956</v>
      </c>
    </row>
    <row r="24" spans="1:16" x14ac:dyDescent="0.45">
      <c r="A24" s="53">
        <v>2045</v>
      </c>
      <c r="B24" s="53">
        <v>20</v>
      </c>
      <c r="C24" s="116">
        <f t="shared" si="2"/>
        <v>2.4529123639042361</v>
      </c>
      <c r="D24" s="139">
        <f t="shared" si="3"/>
        <v>2.7401397947085355</v>
      </c>
      <c r="E24" s="116">
        <f t="shared" si="4"/>
        <v>3.7324125867402453</v>
      </c>
      <c r="F24" s="139">
        <f t="shared" si="5"/>
        <v>5.370704105198671</v>
      </c>
      <c r="G24" s="116">
        <f t="shared" si="0"/>
        <v>5.8065471774800672</v>
      </c>
      <c r="H24" s="116">
        <f t="shared" si="6"/>
        <v>1.8964826441539224</v>
      </c>
      <c r="I24" s="116">
        <f t="shared" si="7"/>
        <v>10.999599336092839</v>
      </c>
      <c r="J24" s="139">
        <f t="shared" si="10"/>
        <v>0.94824132207697054</v>
      </c>
      <c r="K24" s="116">
        <f t="shared" si="1"/>
        <v>1.9600474081421428</v>
      </c>
      <c r="L24" s="116">
        <f t="shared" si="8"/>
        <v>0.8938716235785692</v>
      </c>
      <c r="M24" s="116">
        <f>('Decarbonization Waterfall'!$B$20*(1-($L$33^-B24)))</f>
        <v>3.0611594334635526</v>
      </c>
    </row>
    <row r="25" spans="1:16" x14ac:dyDescent="0.45">
      <c r="A25" s="53">
        <v>2046</v>
      </c>
      <c r="B25" s="53">
        <v>21</v>
      </c>
      <c r="C25" s="116">
        <f t="shared" si="2"/>
        <v>2.5755579820994479</v>
      </c>
      <c r="D25" s="139">
        <f t="shared" si="3"/>
        <v>2.8771467844439624</v>
      </c>
      <c r="E25" s="116">
        <f t="shared" si="4"/>
        <v>3.9190332160772576</v>
      </c>
      <c r="F25" s="139">
        <f t="shared" si="5"/>
        <v>5.6392393104586045</v>
      </c>
      <c r="G25" s="116">
        <f t="shared" si="0"/>
        <v>5.6227538753155848</v>
      </c>
      <c r="H25" s="116">
        <f t="shared" si="6"/>
        <v>1.5171861153231334</v>
      </c>
      <c r="I25" s="116">
        <f t="shared" si="7"/>
        <v>11.075458641858996</v>
      </c>
      <c r="J25" s="139">
        <f t="shared" si="10"/>
        <v>0.75859305766157648</v>
      </c>
      <c r="K25" s="116">
        <f t="shared" si="1"/>
        <v>2.1984519381173295</v>
      </c>
      <c r="L25" s="116">
        <f t="shared" si="8"/>
        <v>1.2555641537111688</v>
      </c>
      <c r="M25" s="116">
        <f>('Decarbonization Waterfall'!$B$20*(1-($L$33^-B25)))</f>
        <v>3.062527564978109</v>
      </c>
    </row>
    <row r="26" spans="1:16" x14ac:dyDescent="0.45">
      <c r="A26" s="53">
        <v>2047</v>
      </c>
      <c r="B26" s="53">
        <v>22</v>
      </c>
      <c r="C26" s="116">
        <f t="shared" si="2"/>
        <v>2.6982036002946597</v>
      </c>
      <c r="D26" s="139">
        <f t="shared" si="3"/>
        <v>3.0141537741793893</v>
      </c>
      <c r="E26" s="116">
        <f t="shared" si="4"/>
        <v>4.1056538454142695</v>
      </c>
      <c r="F26" s="139">
        <f t="shared" si="5"/>
        <v>5.907774515718538</v>
      </c>
      <c r="G26" s="116">
        <f t="shared" si="0"/>
        <v>5.4389605731511033</v>
      </c>
      <c r="H26" s="116">
        <f t="shared" si="6"/>
        <v>1.1378895864923448</v>
      </c>
      <c r="I26" s="116">
        <f t="shared" si="7"/>
        <v>11.151317947625152</v>
      </c>
      <c r="J26" s="139">
        <f t="shared" si="10"/>
        <v>0.56894479324618241</v>
      </c>
      <c r="K26" s="116">
        <f t="shared" si="1"/>
        <v>2.461929691383399</v>
      </c>
      <c r="L26" s="116">
        <f t="shared" si="8"/>
        <v>1.7636104587068566</v>
      </c>
      <c r="M26" s="116">
        <f>('Decarbonization Waterfall'!$B$20*(1-($L$33^-B26)))</f>
        <v>3.0635199133581401</v>
      </c>
    </row>
    <row r="27" spans="1:16" x14ac:dyDescent="0.45">
      <c r="A27" s="53">
        <v>2048</v>
      </c>
      <c r="B27" s="53">
        <v>23</v>
      </c>
      <c r="C27" s="116">
        <f t="shared" si="2"/>
        <v>2.8208492184898715</v>
      </c>
      <c r="D27" s="139">
        <f t="shared" si="3"/>
        <v>3.1511607639148163</v>
      </c>
      <c r="E27" s="116">
        <f t="shared" si="4"/>
        <v>4.2922744747512818</v>
      </c>
      <c r="F27" s="139">
        <f t="shared" si="5"/>
        <v>6.1763097209784714</v>
      </c>
      <c r="G27" s="116">
        <f t="shared" si="0"/>
        <v>5.2551672709866217</v>
      </c>
      <c r="H27" s="116">
        <f t="shared" si="6"/>
        <v>0.75859305766155583</v>
      </c>
      <c r="I27" s="116">
        <f t="shared" si="7"/>
        <v>11.227177253391309</v>
      </c>
      <c r="J27" s="139">
        <f t="shared" si="10"/>
        <v>0.37929652883078835</v>
      </c>
      <c r="K27" s="116">
        <f t="shared" si="1"/>
        <v>2.7531176418529704</v>
      </c>
      <c r="L27" s="116">
        <f t="shared" si="8"/>
        <v>2.4772305269044117</v>
      </c>
      <c r="M27" s="116">
        <f>('Decarbonization Waterfall'!$B$20*(1-($L$33^-B27)))</f>
        <v>3.0642396945318593</v>
      </c>
    </row>
    <row r="28" spans="1:16" x14ac:dyDescent="0.45">
      <c r="A28" s="53">
        <v>2049</v>
      </c>
      <c r="B28" s="53">
        <v>24</v>
      </c>
      <c r="C28" s="116">
        <f t="shared" si="2"/>
        <v>2.9434948366850833</v>
      </c>
      <c r="D28" s="139">
        <f t="shared" si="3"/>
        <v>3.2881677536502432</v>
      </c>
      <c r="E28" s="116">
        <f t="shared" si="4"/>
        <v>4.4788951040882941</v>
      </c>
      <c r="F28" s="139">
        <f t="shared" si="5"/>
        <v>6.4448449262384049</v>
      </c>
      <c r="G28" s="116">
        <f t="shared" si="0"/>
        <v>5.0713739688221393</v>
      </c>
      <c r="H28" s="116">
        <f t="shared" si="6"/>
        <v>0.37929652883076681</v>
      </c>
      <c r="I28" s="116">
        <f t="shared" si="7"/>
        <v>11.303036559157466</v>
      </c>
      <c r="J28" s="139">
        <f t="shared" si="10"/>
        <v>0.18964826441539426</v>
      </c>
      <c r="K28" s="116">
        <f t="shared" si="1"/>
        <v>3.0749300964059927</v>
      </c>
      <c r="L28" s="116">
        <f t="shared" si="8"/>
        <v>3.4796068786792853</v>
      </c>
      <c r="M28" s="116">
        <f>('Decarbonization Waterfall'!$B$20*(1-($L$33^-B28)))</f>
        <v>3.0647617742253082</v>
      </c>
    </row>
    <row r="29" spans="1:16" x14ac:dyDescent="0.45">
      <c r="A29" s="53">
        <v>2050</v>
      </c>
      <c r="B29" s="53">
        <v>25</v>
      </c>
      <c r="C29" s="116">
        <f>'Decarbonization Waterfall'!B20</f>
        <v>3.0661404548802951</v>
      </c>
      <c r="D29" s="116">
        <f>'Decarbonization Waterfall'!C20</f>
        <v>3.4251747433856692</v>
      </c>
      <c r="E29" s="116">
        <f>'Decarbonization Waterfall'!B21</f>
        <v>4.6655157334253063</v>
      </c>
      <c r="F29" s="116">
        <f>'Decarbonization Waterfall'!C21</f>
        <v>6.713380131498341</v>
      </c>
      <c r="G29" s="116">
        <f>I29-C29-D29</f>
        <v>4.8875806666576782</v>
      </c>
      <c r="H29" s="116">
        <f t="shared" si="6"/>
        <v>0</v>
      </c>
      <c r="I29" s="116">
        <f>I4*1.2</f>
        <v>11.378895864923644</v>
      </c>
      <c r="J29" s="139">
        <v>0</v>
      </c>
      <c r="K29" s="116">
        <f t="shared" si="1"/>
        <v>3.430587862252533</v>
      </c>
      <c r="L29" s="116">
        <f t="shared" si="8"/>
        <v>4.8875806666576711</v>
      </c>
      <c r="M29" s="116">
        <f>('Decarbonization Waterfall'!B20*(1-($L$33^-B29)))</f>
        <v>3.0651404548802952</v>
      </c>
    </row>
    <row r="30" spans="1:16" x14ac:dyDescent="0.45">
      <c r="C30" s="112"/>
      <c r="D30" s="112"/>
      <c r="E30" s="112"/>
      <c r="F30" s="112"/>
      <c r="G30" s="112"/>
      <c r="P30" s="112"/>
    </row>
    <row r="31" spans="1:16" x14ac:dyDescent="0.45">
      <c r="A31" s="205">
        <v>2025</v>
      </c>
      <c r="K31" s="269" t="s">
        <v>316</v>
      </c>
      <c r="L31" s="269"/>
    </row>
    <row r="32" spans="1:16" x14ac:dyDescent="0.45">
      <c r="A32" s="205"/>
      <c r="K32" s="201" t="s">
        <v>273</v>
      </c>
      <c r="L32" s="116">
        <f>('Decarbonization Waterfall'!C20/0.001)^(1/25)</f>
        <v>1.3848008113470747</v>
      </c>
    </row>
    <row r="33" spans="1:12" x14ac:dyDescent="0.45">
      <c r="A33" s="205"/>
      <c r="K33" s="201" t="s">
        <v>272</v>
      </c>
      <c r="L33" s="116">
        <f>('Decarbonization Waterfall'!B20/0.001)^(1/25)</f>
        <v>1.3786806549871622</v>
      </c>
    </row>
    <row r="34" spans="1:12" x14ac:dyDescent="0.45">
      <c r="A34" s="205"/>
      <c r="K34" s="201" t="s">
        <v>282</v>
      </c>
      <c r="L34" s="116">
        <f>(G29/0.001)^(1/25)</f>
        <v>1.4046358790142393</v>
      </c>
    </row>
    <row r="35" spans="1:12" x14ac:dyDescent="0.45">
      <c r="A35" s="205"/>
    </row>
    <row r="36" spans="1:12" x14ac:dyDescent="0.45">
      <c r="A36" s="205">
        <v>2030</v>
      </c>
    </row>
    <row r="37" spans="1:12" x14ac:dyDescent="0.45">
      <c r="A37" s="205"/>
    </row>
    <row r="38" spans="1:12" x14ac:dyDescent="0.45">
      <c r="A38" s="205"/>
    </row>
    <row r="39" spans="1:12" x14ac:dyDescent="0.45">
      <c r="A39" s="205"/>
    </row>
    <row r="40" spans="1:12" x14ac:dyDescent="0.45">
      <c r="A40" s="205"/>
    </row>
    <row r="41" spans="1:12" x14ac:dyDescent="0.45">
      <c r="A41" s="205">
        <v>2035</v>
      </c>
    </row>
    <row r="42" spans="1:12" x14ac:dyDescent="0.45">
      <c r="A42" s="205"/>
    </row>
    <row r="43" spans="1:12" x14ac:dyDescent="0.45">
      <c r="A43" s="205"/>
    </row>
    <row r="44" spans="1:12" x14ac:dyDescent="0.45">
      <c r="A44" s="205"/>
    </row>
    <row r="45" spans="1:12" x14ac:dyDescent="0.45">
      <c r="A45" s="205"/>
    </row>
    <row r="46" spans="1:12" x14ac:dyDescent="0.45">
      <c r="A46" s="205">
        <v>2040</v>
      </c>
    </row>
    <row r="47" spans="1:12" x14ac:dyDescent="0.45">
      <c r="A47" s="205"/>
    </row>
    <row r="48" spans="1:12" x14ac:dyDescent="0.45">
      <c r="A48" s="205"/>
    </row>
    <row r="49" spans="1:12" x14ac:dyDescent="0.45">
      <c r="A49" s="205"/>
    </row>
    <row r="50" spans="1:12" x14ac:dyDescent="0.45">
      <c r="A50" s="205"/>
    </row>
    <row r="51" spans="1:12" x14ac:dyDescent="0.45">
      <c r="A51" s="205">
        <v>2045</v>
      </c>
    </row>
    <row r="52" spans="1:12" x14ac:dyDescent="0.45">
      <c r="A52" s="205"/>
    </row>
    <row r="53" spans="1:12" x14ac:dyDescent="0.45">
      <c r="A53" s="205"/>
    </row>
    <row r="54" spans="1:12" x14ac:dyDescent="0.45">
      <c r="A54" s="205"/>
    </row>
    <row r="55" spans="1:12" x14ac:dyDescent="0.45">
      <c r="A55" s="205"/>
    </row>
    <row r="56" spans="1:12" x14ac:dyDescent="0.45">
      <c r="A56" s="205">
        <v>2050</v>
      </c>
    </row>
    <row r="57" spans="1:12" x14ac:dyDescent="0.45">
      <c r="L57"/>
    </row>
    <row r="58" spans="1:12" x14ac:dyDescent="0.45">
      <c r="L58"/>
    </row>
    <row r="59" spans="1:12" x14ac:dyDescent="0.45">
      <c r="L59"/>
    </row>
  </sheetData>
  <mergeCells count="6">
    <mergeCell ref="K31:L31"/>
    <mergeCell ref="K1:M2"/>
    <mergeCell ref="C2:D2"/>
    <mergeCell ref="E2:F2"/>
    <mergeCell ref="C1:F1"/>
    <mergeCell ref="G1:J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zoomScale="70" zoomScaleNormal="70" workbookViewId="0">
      <selection activeCell="A15" sqref="A15"/>
    </sheetView>
  </sheetViews>
  <sheetFormatPr defaultColWidth="8.7265625" defaultRowHeight="14.5" x14ac:dyDescent="0.35"/>
  <cols>
    <col min="1" max="1" width="39.26953125" style="4" bestFit="1" customWidth="1"/>
    <col min="2" max="2" width="46.26953125" style="4" bestFit="1" customWidth="1"/>
    <col min="3" max="3" width="36.453125" style="4" bestFit="1" customWidth="1"/>
    <col min="4" max="4" width="41.453125" style="4" bestFit="1" customWidth="1"/>
    <col min="5" max="5" width="34.7265625" style="4" customWidth="1"/>
    <col min="6" max="6" width="32.26953125" style="4" bestFit="1" customWidth="1"/>
    <col min="7" max="7" width="27.1796875" style="4" customWidth="1"/>
    <col min="8" max="8" width="18" style="4" bestFit="1" customWidth="1"/>
    <col min="9" max="9" width="16.7265625" style="4" bestFit="1" customWidth="1"/>
    <col min="10" max="10" width="15.7265625" style="4" bestFit="1" customWidth="1"/>
    <col min="11" max="11" width="18" style="4" customWidth="1"/>
    <col min="12" max="12" width="28.26953125" style="4" bestFit="1" customWidth="1"/>
    <col min="13" max="13" width="20.26953125" style="4" bestFit="1" customWidth="1"/>
    <col min="14" max="14" width="27.7265625" style="4" bestFit="1" customWidth="1"/>
    <col min="15" max="15" width="19.7265625" style="4" bestFit="1" customWidth="1"/>
    <col min="16" max="16" width="33.54296875" style="4" customWidth="1"/>
    <col min="17" max="17" width="37.7265625" style="4" customWidth="1"/>
    <col min="18" max="16384" width="8.7265625" style="4"/>
  </cols>
  <sheetData>
    <row r="1" spans="1:6" ht="15" thickBot="1" x14ac:dyDescent="0.4"/>
    <row r="2" spans="1:6" ht="18.5" x14ac:dyDescent="0.45">
      <c r="A2" s="293" t="s">
        <v>300</v>
      </c>
      <c r="B2" s="294"/>
      <c r="C2" s="294"/>
      <c r="D2" s="294"/>
      <c r="E2" s="294"/>
      <c r="F2" s="295"/>
    </row>
    <row r="3" spans="1:6" x14ac:dyDescent="0.35">
      <c r="A3" s="296" t="s">
        <v>296</v>
      </c>
      <c r="B3" s="297"/>
      <c r="C3" s="297"/>
      <c r="D3" s="297"/>
      <c r="E3" s="297"/>
      <c r="F3" s="298"/>
    </row>
    <row r="4" spans="1:6" x14ac:dyDescent="0.35">
      <c r="A4" s="187" t="s">
        <v>60</v>
      </c>
      <c r="B4" s="159" t="s">
        <v>63</v>
      </c>
      <c r="C4" s="159" t="s">
        <v>39</v>
      </c>
      <c r="D4" s="159" t="s">
        <v>122</v>
      </c>
      <c r="E4" s="159" t="s">
        <v>23</v>
      </c>
      <c r="F4" s="188" t="s">
        <v>38</v>
      </c>
    </row>
    <row r="5" spans="1:6" x14ac:dyDescent="0.35">
      <c r="A5" s="184" t="s">
        <v>7</v>
      </c>
      <c r="B5" s="29">
        <f>'Material Flow Analysis'!B13</f>
        <v>2.6</v>
      </c>
      <c r="C5" s="29">
        <f>B5/$B$9</f>
        <v>0.79413561392791698</v>
      </c>
      <c r="D5" s="219">
        <v>0.155</v>
      </c>
      <c r="E5" s="164" t="s">
        <v>286</v>
      </c>
      <c r="F5" s="189">
        <f>D5*(C5)</f>
        <v>0.12309102015882713</v>
      </c>
    </row>
    <row r="6" spans="1:6" x14ac:dyDescent="0.35">
      <c r="A6" s="184" t="s">
        <v>67</v>
      </c>
      <c r="B6" s="29">
        <f>'Material Flow Analysis'!B14</f>
        <v>0.14499999999999999</v>
      </c>
      <c r="C6" s="29">
        <f>B6/$B$9</f>
        <v>4.4288332315210746E-2</v>
      </c>
      <c r="D6" s="164">
        <v>2.2800000000000001E-2</v>
      </c>
      <c r="E6" s="16" t="s">
        <v>80</v>
      </c>
      <c r="F6" s="189">
        <f>D6*(C6)</f>
        <v>1.0097739767868051E-3</v>
      </c>
    </row>
    <row r="7" spans="1:6" x14ac:dyDescent="0.35">
      <c r="A7" s="190" t="s">
        <v>203</v>
      </c>
      <c r="B7" s="29">
        <v>0</v>
      </c>
      <c r="C7" s="29">
        <f>B7/$B$9</f>
        <v>0</v>
      </c>
      <c r="D7" s="164">
        <v>0.27500000000000002</v>
      </c>
      <c r="E7" s="164" t="s">
        <v>70</v>
      </c>
      <c r="F7" s="189">
        <f>D7*(C7)</f>
        <v>0</v>
      </c>
    </row>
    <row r="8" spans="1:6" x14ac:dyDescent="0.35">
      <c r="A8" s="184" t="s">
        <v>72</v>
      </c>
      <c r="B8" s="29">
        <f>B9-B5-B6</f>
        <v>0.52899999999999991</v>
      </c>
      <c r="C8" s="29">
        <f>B8/$B$9</f>
        <v>0.16157605375687231</v>
      </c>
      <c r="D8" s="164">
        <v>8.0000000000000002E-3</v>
      </c>
      <c r="E8" s="164" t="s">
        <v>70</v>
      </c>
      <c r="F8" s="189">
        <f>D8*(C8)</f>
        <v>1.2926084300549786E-3</v>
      </c>
    </row>
    <row r="9" spans="1:6" x14ac:dyDescent="0.35">
      <c r="A9" s="184" t="s">
        <v>52</v>
      </c>
      <c r="B9" s="29">
        <f>'Material Flow Analysis'!B12</f>
        <v>3.274</v>
      </c>
      <c r="C9" s="29">
        <f>SUM(C5:C8)</f>
        <v>1</v>
      </c>
      <c r="D9" s="164" t="s">
        <v>35</v>
      </c>
      <c r="E9" s="164" t="s">
        <v>35</v>
      </c>
      <c r="F9" s="191">
        <f>SUM(F5:F8)</f>
        <v>0.12539340256566892</v>
      </c>
    </row>
    <row r="10" spans="1:6" x14ac:dyDescent="0.35">
      <c r="A10" s="296" t="s">
        <v>297</v>
      </c>
      <c r="B10" s="297"/>
      <c r="C10" s="297"/>
      <c r="D10" s="297"/>
      <c r="E10" s="297"/>
      <c r="F10" s="298"/>
    </row>
    <row r="11" spans="1:6" x14ac:dyDescent="0.35">
      <c r="A11" s="187" t="s">
        <v>60</v>
      </c>
      <c r="B11" s="159" t="s">
        <v>63</v>
      </c>
      <c r="C11" s="159" t="s">
        <v>39</v>
      </c>
      <c r="D11" s="159" t="s">
        <v>301</v>
      </c>
      <c r="E11" s="159" t="s">
        <v>23</v>
      </c>
      <c r="F11" s="188" t="s">
        <v>38</v>
      </c>
    </row>
    <row r="12" spans="1:6" x14ac:dyDescent="0.35">
      <c r="A12" s="192" t="s">
        <v>7</v>
      </c>
      <c r="B12" s="181">
        <f>B5</f>
        <v>2.6</v>
      </c>
      <c r="C12" s="180">
        <f>B12/B15</f>
        <v>0.79413561392791698</v>
      </c>
      <c r="D12" s="164">
        <v>0.155</v>
      </c>
      <c r="E12" s="282" t="s">
        <v>286</v>
      </c>
      <c r="F12" s="189">
        <f>C12*D12</f>
        <v>0.12309102015882713</v>
      </c>
    </row>
    <row r="13" spans="1:6" x14ac:dyDescent="0.35">
      <c r="A13" s="192" t="s">
        <v>9</v>
      </c>
      <c r="B13" s="181">
        <f>B6</f>
        <v>0.14499999999999999</v>
      </c>
      <c r="C13" s="180">
        <f>B13/B15</f>
        <v>4.4288332315210746E-2</v>
      </c>
      <c r="D13" s="164">
        <f>0.022</f>
        <v>2.1999999999999999E-2</v>
      </c>
      <c r="E13" s="282"/>
      <c r="F13" s="189">
        <f>C13*D13</f>
        <v>9.7434331093463635E-4</v>
      </c>
    </row>
    <row r="14" spans="1:6" x14ac:dyDescent="0.35">
      <c r="A14" s="192" t="s">
        <v>72</v>
      </c>
      <c r="B14" s="181">
        <f>B8</f>
        <v>0.52899999999999991</v>
      </c>
      <c r="C14" s="180">
        <f>B14/B15</f>
        <v>0.16157605375687231</v>
      </c>
      <c r="D14" s="164">
        <v>4.3999999999999997E-2</v>
      </c>
      <c r="E14" s="282"/>
      <c r="F14" s="189">
        <f>C14*D14</f>
        <v>7.1093463653023811E-3</v>
      </c>
    </row>
    <row r="15" spans="1:6" x14ac:dyDescent="0.35">
      <c r="A15" s="184" t="s">
        <v>52</v>
      </c>
      <c r="B15" s="29">
        <f>B12+B13+B14</f>
        <v>3.274</v>
      </c>
      <c r="C15" s="29">
        <f>C12+C14+C13</f>
        <v>1</v>
      </c>
      <c r="D15" s="164" t="s">
        <v>35</v>
      </c>
      <c r="E15" s="164" t="s">
        <v>35</v>
      </c>
      <c r="F15" s="191">
        <f>SUM(F12:F14)</f>
        <v>0.13117470983506416</v>
      </c>
    </row>
    <row r="16" spans="1:6" x14ac:dyDescent="0.35">
      <c r="A16" s="296" t="s">
        <v>92</v>
      </c>
      <c r="B16" s="297"/>
      <c r="C16" s="297"/>
      <c r="D16" s="297"/>
      <c r="E16" s="297"/>
      <c r="F16" s="298"/>
    </row>
    <row r="17" spans="1:6" x14ac:dyDescent="0.35">
      <c r="A17" s="187" t="s">
        <v>60</v>
      </c>
      <c r="B17" s="159" t="s">
        <v>205</v>
      </c>
      <c r="C17" s="307" t="s">
        <v>39</v>
      </c>
      <c r="D17" s="307" t="s">
        <v>298</v>
      </c>
      <c r="E17" s="307" t="s">
        <v>23</v>
      </c>
      <c r="F17" s="314" t="s">
        <v>38</v>
      </c>
    </row>
    <row r="18" spans="1:6" x14ac:dyDescent="0.35">
      <c r="A18" s="190" t="s">
        <v>199</v>
      </c>
      <c r="B18" s="108">
        <v>0.5</v>
      </c>
      <c r="C18" s="307"/>
      <c r="D18" s="307"/>
      <c r="E18" s="307"/>
      <c r="F18" s="314"/>
    </row>
    <row r="19" spans="1:6" x14ac:dyDescent="0.35">
      <c r="A19" s="190" t="s">
        <v>200</v>
      </c>
      <c r="B19" s="108">
        <v>0.05</v>
      </c>
      <c r="C19" s="164">
        <f>B19/0.5</f>
        <v>0.1</v>
      </c>
      <c r="D19" s="29">
        <v>5.3999999999999999E-2</v>
      </c>
      <c r="E19" s="164" t="s">
        <v>206</v>
      </c>
      <c r="F19" s="185">
        <f>D19*C19</f>
        <v>5.4000000000000003E-3</v>
      </c>
    </row>
    <row r="20" spans="1:6" x14ac:dyDescent="0.35">
      <c r="A20" s="190" t="s">
        <v>201</v>
      </c>
      <c r="B20" s="108">
        <v>0.15</v>
      </c>
      <c r="C20" s="40">
        <f>B20/0.5</f>
        <v>0.3</v>
      </c>
      <c r="D20" s="40">
        <v>4.3999999999999997E-2</v>
      </c>
      <c r="E20" s="290" t="s">
        <v>286</v>
      </c>
      <c r="F20" s="185">
        <f t="shared" ref="F20:F22" si="0">D20*C20</f>
        <v>1.3199999999999998E-2</v>
      </c>
    </row>
    <row r="21" spans="1:6" x14ac:dyDescent="0.35">
      <c r="A21" s="190" t="s">
        <v>202</v>
      </c>
      <c r="B21" s="108">
        <v>0.15</v>
      </c>
      <c r="C21" s="40">
        <f>B21/0.5</f>
        <v>0.3</v>
      </c>
      <c r="D21" s="40">
        <v>0.155</v>
      </c>
      <c r="E21" s="291"/>
      <c r="F21" s="185">
        <f t="shared" si="0"/>
        <v>4.65E-2</v>
      </c>
    </row>
    <row r="22" spans="1:6" x14ac:dyDescent="0.35">
      <c r="A22" s="190" t="s">
        <v>203</v>
      </c>
      <c r="B22" s="108">
        <v>0.15</v>
      </c>
      <c r="C22" s="40">
        <f>B22/0.5</f>
        <v>0.3</v>
      </c>
      <c r="D22" s="40">
        <v>4.8000000000000001E-2</v>
      </c>
      <c r="E22" s="292"/>
      <c r="F22" s="185">
        <f t="shared" si="0"/>
        <v>1.44E-2</v>
      </c>
    </row>
    <row r="23" spans="1:6" ht="15" thickBot="1" x14ac:dyDescent="0.4">
      <c r="A23" s="193" t="s">
        <v>52</v>
      </c>
      <c r="B23" s="194">
        <f>B18+B19+B20+B21+B22</f>
        <v>1</v>
      </c>
      <c r="C23" s="195">
        <f>C19+C20+C21</f>
        <v>0.7</v>
      </c>
      <c r="D23" s="196" t="s">
        <v>35</v>
      </c>
      <c r="E23" s="196" t="s">
        <v>35</v>
      </c>
      <c r="F23" s="197">
        <f>SUM(F19:F22)</f>
        <v>7.9499999999999987E-2</v>
      </c>
    </row>
    <row r="25" spans="1:6" ht="18.5" x14ac:dyDescent="0.45">
      <c r="A25" s="304" t="s">
        <v>311</v>
      </c>
      <c r="B25" s="304"/>
      <c r="C25" s="304"/>
      <c r="D25" s="304"/>
      <c r="E25" s="304"/>
      <c r="F25" s="304"/>
    </row>
    <row r="26" spans="1:6" x14ac:dyDescent="0.35">
      <c r="A26" s="5" t="s">
        <v>0</v>
      </c>
      <c r="B26" s="5" t="s">
        <v>125</v>
      </c>
      <c r="C26" s="5" t="s">
        <v>39</v>
      </c>
      <c r="D26" s="5" t="s">
        <v>37</v>
      </c>
      <c r="E26" s="5" t="s">
        <v>123</v>
      </c>
      <c r="F26" s="5" t="s">
        <v>38</v>
      </c>
    </row>
    <row r="27" spans="1:6" x14ac:dyDescent="0.35">
      <c r="A27" s="2" t="s">
        <v>42</v>
      </c>
      <c r="B27" s="2">
        <v>1100</v>
      </c>
      <c r="C27" s="29">
        <f>B27/$B$31</f>
        <v>0.45833333333333331</v>
      </c>
      <c r="D27" s="2">
        <v>1.0200000000000001E-2</v>
      </c>
      <c r="E27" s="282" t="s">
        <v>124</v>
      </c>
      <c r="F27" s="28">
        <f>(C27*D27)</f>
        <v>4.6750000000000003E-3</v>
      </c>
    </row>
    <row r="28" spans="1:6" x14ac:dyDescent="0.35">
      <c r="A28" s="2" t="s">
        <v>46</v>
      </c>
      <c r="B28" s="2">
        <v>850</v>
      </c>
      <c r="C28" s="29">
        <f>B28/$B$31</f>
        <v>0.35416666666666669</v>
      </c>
      <c r="D28" s="2">
        <v>4.2700000000000004E-3</v>
      </c>
      <c r="E28" s="282"/>
      <c r="F28" s="28">
        <f>(C28*D28)</f>
        <v>1.5122916666666668E-3</v>
      </c>
    </row>
    <row r="29" spans="1:6" x14ac:dyDescent="0.35">
      <c r="A29" s="2" t="s">
        <v>47</v>
      </c>
      <c r="B29" s="2">
        <v>150</v>
      </c>
      <c r="C29" s="29">
        <f>B29/$B$31</f>
        <v>6.25E-2</v>
      </c>
      <c r="D29" s="2">
        <v>1.24E-3</v>
      </c>
      <c r="E29" s="282"/>
      <c r="F29" s="28">
        <f>(C29*D29)</f>
        <v>7.75E-5</v>
      </c>
    </row>
    <row r="30" spans="1:6" x14ac:dyDescent="0.35">
      <c r="A30" s="2" t="s">
        <v>43</v>
      </c>
      <c r="B30" s="2">
        <v>300</v>
      </c>
      <c r="C30" s="29">
        <f>B30/$B$31</f>
        <v>0.125</v>
      </c>
      <c r="D30" s="2" t="s">
        <v>35</v>
      </c>
      <c r="E30" s="2" t="s">
        <v>35</v>
      </c>
      <c r="F30" s="28" t="s">
        <v>35</v>
      </c>
    </row>
    <row r="31" spans="1:6" x14ac:dyDescent="0.35">
      <c r="A31" s="2" t="s">
        <v>52</v>
      </c>
      <c r="B31" s="2">
        <f>SUM(B27:B30)</f>
        <v>2400</v>
      </c>
      <c r="C31" s="2">
        <f>SUM(C27:C30)</f>
        <v>1</v>
      </c>
      <c r="D31" s="2" t="s">
        <v>35</v>
      </c>
      <c r="E31" s="2" t="s">
        <v>35</v>
      </c>
      <c r="F31" s="30">
        <f>SUM(F27:F29)</f>
        <v>6.2647916666666676E-3</v>
      </c>
    </row>
    <row r="32" spans="1:6" ht="15" thickBot="1" x14ac:dyDescent="0.4"/>
    <row r="33" spans="1:5" ht="18.5" x14ac:dyDescent="0.45">
      <c r="A33" s="301" t="s">
        <v>176</v>
      </c>
      <c r="B33" s="302"/>
      <c r="C33" s="302"/>
      <c r="D33" s="303"/>
    </row>
    <row r="34" spans="1:5" x14ac:dyDescent="0.35">
      <c r="A34" s="316" t="s">
        <v>252</v>
      </c>
      <c r="B34" s="226"/>
      <c r="C34" s="226"/>
      <c r="D34" s="317"/>
    </row>
    <row r="35" spans="1:5" x14ac:dyDescent="0.35">
      <c r="A35" s="182" t="s">
        <v>156</v>
      </c>
      <c r="B35" s="37" t="s">
        <v>157</v>
      </c>
      <c r="C35" s="37" t="s">
        <v>158</v>
      </c>
      <c r="D35" s="183" t="s">
        <v>317</v>
      </c>
    </row>
    <row r="36" spans="1:5" x14ac:dyDescent="0.35">
      <c r="A36" s="300" t="s">
        <v>151</v>
      </c>
      <c r="B36" s="164" t="s">
        <v>159</v>
      </c>
      <c r="C36" s="164">
        <v>120</v>
      </c>
      <c r="D36" s="299">
        <v>200</v>
      </c>
    </row>
    <row r="37" spans="1:5" x14ac:dyDescent="0.35">
      <c r="A37" s="300"/>
      <c r="B37" s="164" t="s">
        <v>160</v>
      </c>
      <c r="C37" s="164">
        <v>180</v>
      </c>
      <c r="D37" s="299"/>
    </row>
    <row r="38" spans="1:5" x14ac:dyDescent="0.35">
      <c r="A38" s="300"/>
      <c r="B38" s="164" t="s">
        <v>161</v>
      </c>
      <c r="C38" s="164">
        <v>200</v>
      </c>
      <c r="D38" s="299"/>
    </row>
    <row r="39" spans="1:5" x14ac:dyDescent="0.35">
      <c r="A39" s="288" t="s">
        <v>152</v>
      </c>
      <c r="B39" s="40" t="s">
        <v>162</v>
      </c>
      <c r="C39" s="40">
        <v>220</v>
      </c>
      <c r="D39" s="287">
        <v>240</v>
      </c>
    </row>
    <row r="40" spans="1:5" x14ac:dyDescent="0.35">
      <c r="A40" s="288"/>
      <c r="B40" s="40" t="s">
        <v>163</v>
      </c>
      <c r="C40" s="147">
        <v>240</v>
      </c>
      <c r="D40" s="287"/>
    </row>
    <row r="41" spans="1:5" x14ac:dyDescent="0.35">
      <c r="A41" s="288" t="s">
        <v>153</v>
      </c>
      <c r="B41" s="40" t="s">
        <v>164</v>
      </c>
      <c r="C41" s="40">
        <v>260</v>
      </c>
      <c r="D41" s="287">
        <v>300</v>
      </c>
    </row>
    <row r="42" spans="1:5" x14ac:dyDescent="0.35">
      <c r="A42" s="288"/>
      <c r="B42" s="40" t="s">
        <v>175</v>
      </c>
      <c r="C42" s="40">
        <v>280</v>
      </c>
      <c r="D42" s="287"/>
    </row>
    <row r="43" spans="1:5" x14ac:dyDescent="0.35">
      <c r="A43" s="288"/>
      <c r="B43" s="40" t="s">
        <v>165</v>
      </c>
      <c r="C43" s="40">
        <v>300</v>
      </c>
      <c r="D43" s="287"/>
    </row>
    <row r="44" spans="1:5" x14ac:dyDescent="0.35">
      <c r="A44" s="288" t="s">
        <v>154</v>
      </c>
      <c r="B44" s="40" t="s">
        <v>166</v>
      </c>
      <c r="C44" s="40">
        <v>320</v>
      </c>
      <c r="D44" s="289">
        <v>340</v>
      </c>
    </row>
    <row r="45" spans="1:5" x14ac:dyDescent="0.35">
      <c r="A45" s="288"/>
      <c r="B45" s="40" t="s">
        <v>167</v>
      </c>
      <c r="C45" s="40">
        <v>340</v>
      </c>
      <c r="D45" s="289"/>
      <c r="E45" s="154"/>
    </row>
    <row r="46" spans="1:5" x14ac:dyDescent="0.35">
      <c r="A46" s="311"/>
      <c r="B46" s="312"/>
      <c r="C46" s="312"/>
      <c r="D46" s="313"/>
      <c r="E46" s="155"/>
    </row>
    <row r="47" spans="1:5" x14ac:dyDescent="0.35">
      <c r="A47" s="187" t="s">
        <v>150</v>
      </c>
      <c r="B47" s="159" t="s">
        <v>234</v>
      </c>
      <c r="C47" s="159" t="s">
        <v>174</v>
      </c>
      <c r="D47" s="200" t="s">
        <v>235</v>
      </c>
    </row>
    <row r="48" spans="1:5" x14ac:dyDescent="0.35">
      <c r="A48" s="184" t="s">
        <v>151</v>
      </c>
      <c r="B48" s="38">
        <f>D36</f>
        <v>200</v>
      </c>
      <c r="C48" s="164">
        <v>0.05</v>
      </c>
      <c r="D48" s="185">
        <f>(B48/2400)*C48</f>
        <v>4.1666666666666666E-3</v>
      </c>
    </row>
    <row r="49" spans="1:16" x14ac:dyDescent="0.35">
      <c r="A49" s="184" t="s">
        <v>152</v>
      </c>
      <c r="B49" s="164">
        <f>D39</f>
        <v>240</v>
      </c>
      <c r="C49" s="164">
        <v>0.17</v>
      </c>
      <c r="D49" s="185">
        <f>(B49/2400)*C49</f>
        <v>1.7000000000000001E-2</v>
      </c>
    </row>
    <row r="50" spans="1:16" x14ac:dyDescent="0.35">
      <c r="A50" s="184" t="s">
        <v>153</v>
      </c>
      <c r="B50" s="164">
        <f>D41</f>
        <v>300</v>
      </c>
      <c r="C50" s="164">
        <v>0.64</v>
      </c>
      <c r="D50" s="185">
        <f>(B50/2400)*C50</f>
        <v>0.08</v>
      </c>
    </row>
    <row r="51" spans="1:16" x14ac:dyDescent="0.35">
      <c r="A51" s="184" t="s">
        <v>154</v>
      </c>
      <c r="B51" s="38">
        <f>D44</f>
        <v>340</v>
      </c>
      <c r="C51" s="164">
        <v>0.14000000000000001</v>
      </c>
      <c r="D51" s="185">
        <f>(B51/2400)*C51</f>
        <v>1.9833333333333335E-2</v>
      </c>
    </row>
    <row r="52" spans="1:16" x14ac:dyDescent="0.35">
      <c r="A52" s="184" t="s">
        <v>155</v>
      </c>
      <c r="B52" s="38">
        <f>B48+B49+B51+B50</f>
        <v>1080</v>
      </c>
      <c r="C52" s="38">
        <f>C48+C49+C51+C50</f>
        <v>1</v>
      </c>
      <c r="D52" s="185">
        <f>SUM(D48:D51)</f>
        <v>0.121</v>
      </c>
    </row>
    <row r="53" spans="1:16" ht="15" thickBot="1" x14ac:dyDescent="0.4">
      <c r="A53" s="308" t="s">
        <v>299</v>
      </c>
      <c r="B53" s="309"/>
      <c r="C53" s="310"/>
      <c r="D53" s="186">
        <f>D52</f>
        <v>0.121</v>
      </c>
    </row>
    <row r="55" spans="1:16" ht="18.5" x14ac:dyDescent="0.35">
      <c r="A55" s="306" t="s">
        <v>310</v>
      </c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</row>
    <row r="56" spans="1:16" x14ac:dyDescent="0.35">
      <c r="A56" s="143"/>
      <c r="B56" s="143" t="s">
        <v>207</v>
      </c>
      <c r="C56" s="143" t="s">
        <v>208</v>
      </c>
      <c r="D56" s="143" t="s">
        <v>209</v>
      </c>
      <c r="E56" s="143" t="s">
        <v>210</v>
      </c>
      <c r="F56" s="143" t="s">
        <v>211</v>
      </c>
      <c r="G56" s="143" t="s">
        <v>212</v>
      </c>
      <c r="H56" s="143" t="s">
        <v>213</v>
      </c>
      <c r="I56" s="143" t="s">
        <v>214</v>
      </c>
      <c r="J56" s="143" t="s">
        <v>215</v>
      </c>
      <c r="K56" s="143" t="s">
        <v>216</v>
      </c>
      <c r="L56" s="143" t="s">
        <v>217</v>
      </c>
      <c r="M56" s="143" t="s">
        <v>218</v>
      </c>
      <c r="N56" s="143" t="s">
        <v>219</v>
      </c>
      <c r="O56" s="143" t="s">
        <v>220</v>
      </c>
      <c r="P56" s="143" t="s">
        <v>30</v>
      </c>
    </row>
    <row r="57" spans="1:16" ht="17" customHeight="1" x14ac:dyDescent="0.35">
      <c r="A57" s="207" t="s">
        <v>221</v>
      </c>
      <c r="B57" s="29">
        <v>1203.5424111344105</v>
      </c>
      <c r="C57" s="29">
        <v>1013.0844215350432</v>
      </c>
      <c r="D57" s="29">
        <v>1266.487983249255</v>
      </c>
      <c r="E57" s="29">
        <v>1331.9977172326992</v>
      </c>
      <c r="F57" s="29">
        <v>1652.9235268430173</v>
      </c>
      <c r="G57" s="29">
        <v>457.22812655391795</v>
      </c>
      <c r="H57" s="29">
        <v>1212.159667357279</v>
      </c>
      <c r="I57" s="29">
        <v>716.13415394131471</v>
      </c>
      <c r="J57" s="29">
        <v>675.35294539635822</v>
      </c>
      <c r="K57" s="29">
        <v>551.87592176564101</v>
      </c>
      <c r="L57" s="29">
        <v>1361.03237818103</v>
      </c>
      <c r="M57" s="29">
        <v>785.40037101866665</v>
      </c>
      <c r="N57" s="29">
        <v>830.36083559828069</v>
      </c>
      <c r="O57" s="29">
        <v>1167.9252066719162</v>
      </c>
      <c r="P57" s="2" t="s">
        <v>49</v>
      </c>
    </row>
    <row r="58" spans="1:16" x14ac:dyDescent="0.35">
      <c r="A58" s="207" t="s">
        <v>302</v>
      </c>
      <c r="B58" s="109">
        <v>0.10117903176813299</v>
      </c>
      <c r="C58" s="109">
        <v>0.10189601412645141</v>
      </c>
      <c r="D58" s="109">
        <v>0.19046833244969177</v>
      </c>
      <c r="E58" s="109">
        <v>9.1131355861753707E-2</v>
      </c>
      <c r="F58" s="109">
        <v>1.1262669966630678E-2</v>
      </c>
      <c r="G58" s="109">
        <v>4.7138014103632997E-2</v>
      </c>
      <c r="H58" s="109">
        <v>3.7016824127680203E-2</v>
      </c>
      <c r="I58" s="109">
        <v>9.2542060319200491E-3</v>
      </c>
      <c r="J58" s="109">
        <v>2.0539826049708544E-3</v>
      </c>
      <c r="K58" s="109">
        <v>5.1349565124271339E-4</v>
      </c>
      <c r="L58" s="109">
        <v>6.195688819147873E-2</v>
      </c>
      <c r="M58" s="109">
        <v>0.24191005485714531</v>
      </c>
      <c r="N58" s="109">
        <v>6.9045847742333188E-2</v>
      </c>
      <c r="O58" s="109">
        <v>3.5173282516935175E-2</v>
      </c>
      <c r="P58" s="2" t="s">
        <v>204</v>
      </c>
    </row>
    <row r="59" spans="1:16" x14ac:dyDescent="0.35">
      <c r="A59" s="207" t="s">
        <v>222</v>
      </c>
      <c r="B59" s="29">
        <f>B57*0.8</f>
        <v>962.83392890752839</v>
      </c>
      <c r="C59" s="29">
        <f t="shared" ref="C59:O59" si="1">C57*0.8</f>
        <v>810.46753722803464</v>
      </c>
      <c r="D59" s="29">
        <f t="shared" si="1"/>
        <v>1013.1903865994041</v>
      </c>
      <c r="E59" s="29">
        <f t="shared" si="1"/>
        <v>1065.5981737861594</v>
      </c>
      <c r="F59" s="29">
        <f t="shared" si="1"/>
        <v>1322.3388214744139</v>
      </c>
      <c r="G59" s="29">
        <f t="shared" si="1"/>
        <v>365.78250124313439</v>
      </c>
      <c r="H59" s="29">
        <f t="shared" si="1"/>
        <v>969.72773388582323</v>
      </c>
      <c r="I59" s="29">
        <f t="shared" si="1"/>
        <v>572.90732315305183</v>
      </c>
      <c r="J59" s="29">
        <f t="shared" si="1"/>
        <v>540.28235631708662</v>
      </c>
      <c r="K59" s="29">
        <f t="shared" si="1"/>
        <v>441.50073741251282</v>
      </c>
      <c r="L59" s="29">
        <f t="shared" si="1"/>
        <v>1088.825902544824</v>
      </c>
      <c r="M59" s="29">
        <f t="shared" si="1"/>
        <v>628.32029681493339</v>
      </c>
      <c r="N59" s="29">
        <f t="shared" si="1"/>
        <v>664.28866847862457</v>
      </c>
      <c r="O59" s="29">
        <f t="shared" si="1"/>
        <v>934.34016533753299</v>
      </c>
      <c r="P59" s="2" t="s">
        <v>49</v>
      </c>
    </row>
    <row r="60" spans="1:16" x14ac:dyDescent="0.35">
      <c r="A60" s="208" t="s">
        <v>303</v>
      </c>
      <c r="B60" s="198">
        <f>SUMPRODUCT(B57:O57,B58:O58)</f>
        <v>1053.686702745651</v>
      </c>
      <c r="C60" s="315" t="s">
        <v>49</v>
      </c>
    </row>
    <row r="61" spans="1:16" x14ac:dyDescent="0.35">
      <c r="A61" s="207" t="s">
        <v>304</v>
      </c>
      <c r="B61" s="198">
        <f>SUMPRODUCT(B58:O58,B59:O59)</f>
        <v>842.94936219652095</v>
      </c>
      <c r="C61" s="249"/>
    </row>
    <row r="63" spans="1:16" ht="18.5" x14ac:dyDescent="0.35">
      <c r="A63" s="306" t="s">
        <v>309</v>
      </c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</row>
    <row r="64" spans="1:16" x14ac:dyDescent="0.35">
      <c r="A64" s="305" t="s">
        <v>221</v>
      </c>
      <c r="B64" s="199" t="s">
        <v>223</v>
      </c>
      <c r="C64" s="199" t="s">
        <v>224</v>
      </c>
      <c r="D64" s="199" t="s">
        <v>225</v>
      </c>
      <c r="E64" s="199" t="s">
        <v>226</v>
      </c>
      <c r="F64" s="199" t="s">
        <v>227</v>
      </c>
      <c r="G64" s="199" t="s">
        <v>228</v>
      </c>
      <c r="H64" s="199" t="s">
        <v>229</v>
      </c>
      <c r="I64" s="199" t="s">
        <v>230</v>
      </c>
      <c r="J64" s="199" t="s">
        <v>231</v>
      </c>
      <c r="K64" s="199" t="s">
        <v>232</v>
      </c>
      <c r="L64" s="199" t="s">
        <v>233</v>
      </c>
    </row>
    <row r="65" spans="1:12" ht="18.649999999999999" customHeight="1" x14ac:dyDescent="0.35">
      <c r="A65" s="305"/>
      <c r="B65" s="2">
        <v>908</v>
      </c>
      <c r="C65" s="2">
        <v>650</v>
      </c>
      <c r="D65" s="2">
        <v>1657</v>
      </c>
      <c r="E65" s="2">
        <v>931</v>
      </c>
      <c r="F65" s="2">
        <v>827</v>
      </c>
      <c r="G65" s="2">
        <v>829</v>
      </c>
      <c r="H65" s="2">
        <v>863</v>
      </c>
      <c r="I65" s="2">
        <v>705</v>
      </c>
      <c r="J65" s="2">
        <v>1200</v>
      </c>
      <c r="K65" s="2">
        <v>908</v>
      </c>
      <c r="L65" s="2">
        <v>1390</v>
      </c>
    </row>
    <row r="67" spans="1:12" x14ac:dyDescent="0.35">
      <c r="A67" s="54" t="s">
        <v>305</v>
      </c>
      <c r="B67" s="2">
        <v>650</v>
      </c>
    </row>
    <row r="68" spans="1:12" x14ac:dyDescent="0.35">
      <c r="A68" s="54" t="s">
        <v>306</v>
      </c>
      <c r="B68" s="2">
        <v>1657</v>
      </c>
    </row>
    <row r="69" spans="1:12" x14ac:dyDescent="0.35">
      <c r="A69" s="54" t="s">
        <v>307</v>
      </c>
      <c r="B69" s="120">
        <f>AVERAGE(B65:L65)</f>
        <v>988</v>
      </c>
    </row>
    <row r="70" spans="1:12" x14ac:dyDescent="0.35">
      <c r="A70" s="54" t="s">
        <v>308</v>
      </c>
      <c r="B70" s="2">
        <v>305.1750317440796</v>
      </c>
    </row>
  </sheetData>
  <mergeCells count="28">
    <mergeCell ref="A64:A65"/>
    <mergeCell ref="A63:L63"/>
    <mergeCell ref="C17:C18"/>
    <mergeCell ref="E12:E14"/>
    <mergeCell ref="A53:C53"/>
    <mergeCell ref="A46:D46"/>
    <mergeCell ref="A16:F16"/>
    <mergeCell ref="F17:F18"/>
    <mergeCell ref="C60:C61"/>
    <mergeCell ref="D17:D18"/>
    <mergeCell ref="E17:E18"/>
    <mergeCell ref="A55:P55"/>
    <mergeCell ref="A34:D34"/>
    <mergeCell ref="A39:A40"/>
    <mergeCell ref="D41:D43"/>
    <mergeCell ref="A41:A43"/>
    <mergeCell ref="D39:D40"/>
    <mergeCell ref="A44:A45"/>
    <mergeCell ref="D44:D45"/>
    <mergeCell ref="E20:E22"/>
    <mergeCell ref="A2:F2"/>
    <mergeCell ref="A3:F3"/>
    <mergeCell ref="D36:D38"/>
    <mergeCell ref="A36:A38"/>
    <mergeCell ref="E27:E29"/>
    <mergeCell ref="A33:D33"/>
    <mergeCell ref="A25:F25"/>
    <mergeCell ref="A10:F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Material Flow Analysis</vt:lpstr>
      <vt:lpstr>Carbon Intensity</vt:lpstr>
      <vt:lpstr>Decarbonization Potential</vt:lpstr>
      <vt:lpstr>Decarbonization Waterfall</vt:lpstr>
      <vt:lpstr>Cumulative Carbon Calculations</vt:lpstr>
      <vt:lpstr>Supplementary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Rihner</dc:creator>
  <cp:lastModifiedBy>Madeline Rihner</cp:lastModifiedBy>
  <dcterms:created xsi:type="dcterms:W3CDTF">2024-05-23T13:53:21Z</dcterms:created>
  <dcterms:modified xsi:type="dcterms:W3CDTF">2025-10-31T09:56:24Z</dcterms:modified>
</cp:coreProperties>
</file>