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F:\"/>
    </mc:Choice>
  </mc:AlternateContent>
  <bookViews>
    <workbookView xWindow="720" yWindow="435" windowWidth="20730" windowHeight="11760" tabRatio="935"/>
  </bookViews>
  <sheets>
    <sheet name="Banner" sheetId="17" r:id="rId1"/>
    <sheet name="Variable" sheetId="13" r:id="rId2"/>
    <sheet name="inputdata" sheetId="1" r:id="rId3"/>
    <sheet name="inputdata(costs-benefits) " sheetId="15" r:id="rId4"/>
    <sheet name="envi risk assessment results" sheetId="12" r:id="rId5"/>
    <sheet name="Health risk assesment result" sheetId="18" r:id="rId6"/>
    <sheet name="costs-benefits results" sheetId="16" r:id="rId7"/>
    <sheet name="lifeCycle Costs calculation" sheetId="11" r:id="rId8"/>
    <sheet name="water demand calculation" sheetId="2" r:id="rId9"/>
    <sheet name="Health impact calculation" sheetId="14" r:id="rId10"/>
    <sheet name="fertiliser demand calculation" sheetId="6" r:id="rId11"/>
  </sheets>
  <definedNames>
    <definedName name="_xlnm._FilterDatabase" localSheetId="7" hidden="1">'lifeCycle Costs calculation'!$A$4:$L$27</definedName>
    <definedName name="A">inputdata!$I$34</definedName>
    <definedName name="irrigationS">inputdata!$A$7:$A$11</definedName>
    <definedName name="solver_eng" localSheetId="8" hidden="1">1</definedName>
    <definedName name="solver_neg" localSheetId="8" hidden="1">1</definedName>
    <definedName name="solver_num" localSheetId="8" hidden="1">0</definedName>
    <definedName name="solver_opt" localSheetId="8" hidden="1">'water demand calculation'!$D$3</definedName>
    <definedName name="solver_typ" localSheetId="8" hidden="1">1</definedName>
    <definedName name="solver_val" localSheetId="8" hidden="1">0</definedName>
    <definedName name="solver_ver" localSheetId="8" hidden="1">3</definedName>
    <definedName name="treatment">inputdata!$B$37:$B$46</definedName>
  </definedNames>
  <calcPr calcId="152511"/>
</workbook>
</file>

<file path=xl/calcChain.xml><?xml version="1.0" encoding="utf-8"?>
<calcChain xmlns="http://schemas.openxmlformats.org/spreadsheetml/2006/main">
  <c r="D50" i="15" l="1"/>
  <c r="C5" i="18" l="1"/>
  <c r="D5" i="18"/>
  <c r="E5" i="18"/>
  <c r="F5" i="18"/>
  <c r="G5" i="18"/>
  <c r="H5" i="18"/>
  <c r="I5" i="18"/>
  <c r="J5" i="18"/>
  <c r="N5" i="18"/>
  <c r="O5" i="18"/>
  <c r="P5" i="18"/>
  <c r="Q5" i="18"/>
  <c r="R5" i="18"/>
  <c r="S5" i="18"/>
  <c r="T5" i="18"/>
  <c r="U5" i="18"/>
  <c r="B11" i="18"/>
  <c r="C6" i="18"/>
  <c r="D6" i="18"/>
  <c r="E6" i="18"/>
  <c r="F6" i="18"/>
  <c r="G6" i="18"/>
  <c r="H6" i="18"/>
  <c r="I6" i="18"/>
  <c r="J6" i="18"/>
  <c r="N6" i="18"/>
  <c r="O6" i="18"/>
  <c r="P6" i="18"/>
  <c r="Q6" i="18"/>
  <c r="R6" i="18"/>
  <c r="S6" i="18"/>
  <c r="T6" i="18"/>
  <c r="U6" i="18"/>
  <c r="G5" i="16"/>
  <c r="B71" i="15" l="1"/>
  <c r="D37" i="15"/>
  <c r="E37" i="15"/>
  <c r="F37" i="15"/>
  <c r="G37" i="15"/>
  <c r="H37" i="15"/>
  <c r="I37" i="15"/>
  <c r="J37" i="15"/>
  <c r="K37" i="15"/>
  <c r="L37" i="15"/>
  <c r="M37" i="15"/>
  <c r="N37" i="15"/>
  <c r="O37" i="15"/>
  <c r="P37" i="15"/>
  <c r="Q37" i="15"/>
  <c r="R37" i="15"/>
  <c r="S37" i="15"/>
  <c r="T37" i="15"/>
  <c r="U37" i="15"/>
  <c r="V37" i="15"/>
  <c r="W37" i="15"/>
  <c r="X37" i="15"/>
  <c r="Y37" i="15"/>
  <c r="Z37" i="15"/>
  <c r="AA37" i="15"/>
  <c r="AB37" i="15"/>
  <c r="AC37" i="15"/>
  <c r="AD37" i="15"/>
  <c r="AE37" i="15"/>
  <c r="AF37" i="15"/>
  <c r="AG37" i="15"/>
  <c r="AH37" i="15"/>
  <c r="B25" i="15"/>
  <c r="F63" i="15" l="1"/>
  <c r="G63" i="15"/>
  <c r="H63" i="15"/>
  <c r="I63" i="15"/>
  <c r="J63" i="15"/>
  <c r="K63" i="15"/>
  <c r="L63" i="15"/>
  <c r="M63" i="15"/>
  <c r="N63" i="15"/>
  <c r="O63" i="15"/>
  <c r="P63" i="15"/>
  <c r="Q63" i="15"/>
  <c r="R63" i="15"/>
  <c r="S63" i="15"/>
  <c r="T63" i="15"/>
  <c r="U63" i="15"/>
  <c r="V63" i="15"/>
  <c r="W63" i="15"/>
  <c r="X63" i="15"/>
  <c r="Y63" i="15"/>
  <c r="Z63" i="15"/>
  <c r="AA63" i="15"/>
  <c r="AB63" i="15"/>
  <c r="AC63" i="15"/>
  <c r="AD63" i="15"/>
  <c r="AE63" i="15"/>
  <c r="AF63" i="15"/>
  <c r="AG63" i="15"/>
  <c r="AH63" i="15"/>
  <c r="E63" i="15"/>
  <c r="T13" i="1"/>
  <c r="G43" i="1" l="1"/>
  <c r="A98" i="11"/>
  <c r="B98" i="11"/>
  <c r="D98" i="11" s="1"/>
  <c r="F98" i="11" s="1"/>
  <c r="A99" i="11"/>
  <c r="B99" i="11"/>
  <c r="D99" i="11" s="1"/>
  <c r="F99" i="11" s="1"/>
  <c r="A100" i="11"/>
  <c r="B100" i="11"/>
  <c r="A101" i="11"/>
  <c r="B101" i="11"/>
  <c r="A102" i="11"/>
  <c r="B102" i="11"/>
  <c r="A103" i="11"/>
  <c r="B103" i="11"/>
  <c r="A104" i="11"/>
  <c r="B104" i="11"/>
  <c r="H99" i="11" l="1"/>
  <c r="AF99" i="11"/>
  <c r="AB98" i="11"/>
  <c r="X99" i="11"/>
  <c r="T98" i="11"/>
  <c r="P99" i="11"/>
  <c r="L98" i="11"/>
  <c r="AC99" i="11"/>
  <c r="U99" i="11"/>
  <c r="M99" i="11"/>
  <c r="AG98" i="11"/>
  <c r="Y98" i="11"/>
  <c r="Q98" i="11"/>
  <c r="I98" i="11"/>
  <c r="E99" i="11"/>
  <c r="AB99" i="11"/>
  <c r="T99" i="11"/>
  <c r="L99" i="11"/>
  <c r="AF98" i="11"/>
  <c r="X98" i="11"/>
  <c r="P98" i="11"/>
  <c r="H98" i="11"/>
  <c r="E98" i="11"/>
  <c r="AG99" i="11"/>
  <c r="Y99" i="11"/>
  <c r="Q99" i="11"/>
  <c r="I99" i="11"/>
  <c r="AC98" i="11"/>
  <c r="U98" i="11"/>
  <c r="M98" i="11"/>
  <c r="AE99" i="11"/>
  <c r="AA99" i="11"/>
  <c r="W99" i="11"/>
  <c r="S99" i="11"/>
  <c r="O99" i="11"/>
  <c r="K99" i="11"/>
  <c r="G99" i="11"/>
  <c r="AE98" i="11"/>
  <c r="AA98" i="11"/>
  <c r="W98" i="11"/>
  <c r="S98" i="11"/>
  <c r="O98" i="11"/>
  <c r="K98" i="11"/>
  <c r="G98" i="11"/>
  <c r="AD99" i="11"/>
  <c r="Z99" i="11"/>
  <c r="V99" i="11"/>
  <c r="R99" i="11"/>
  <c r="N99" i="11"/>
  <c r="J99" i="11"/>
  <c r="AD98" i="11"/>
  <c r="Z98" i="11"/>
  <c r="V98" i="11"/>
  <c r="R98" i="11"/>
  <c r="N98" i="11"/>
  <c r="J98" i="11"/>
  <c r="A95" i="11" l="1"/>
  <c r="B95" i="11"/>
  <c r="D95" i="11" s="1"/>
  <c r="B96" i="11"/>
  <c r="A96" i="11"/>
  <c r="M95" i="11" l="1"/>
  <c r="U95" i="11"/>
  <c r="F95" i="11"/>
  <c r="V95" i="11"/>
  <c r="P95" i="11"/>
  <c r="G95" i="11"/>
  <c r="W95" i="11"/>
  <c r="L95" i="11"/>
  <c r="AG95" i="11"/>
  <c r="I95" i="11"/>
  <c r="AC95" i="11"/>
  <c r="AB95" i="11"/>
  <c r="E95" i="11"/>
  <c r="Q95" i="11"/>
  <c r="J95" i="11"/>
  <c r="Z95" i="11"/>
  <c r="T95" i="11"/>
  <c r="K95" i="11"/>
  <c r="AA95" i="11"/>
  <c r="AF95" i="11"/>
  <c r="N95" i="11"/>
  <c r="AD95" i="11"/>
  <c r="X95" i="11"/>
  <c r="O95" i="11"/>
  <c r="AE95" i="11"/>
  <c r="R95" i="11"/>
  <c r="H95" i="11"/>
  <c r="S95" i="11"/>
  <c r="Y95" i="11"/>
  <c r="A5" i="16" l="1"/>
  <c r="I21" i="16"/>
  <c r="G6" i="16"/>
  <c r="F16" i="16"/>
  <c r="F12" i="16"/>
  <c r="A35" i="11"/>
  <c r="A34" i="11"/>
  <c r="A33" i="11"/>
  <c r="A31" i="11"/>
  <c r="I6" i="11"/>
  <c r="H6" i="11"/>
  <c r="G6" i="11"/>
  <c r="F6" i="11"/>
  <c r="E6" i="11"/>
  <c r="C6" i="11"/>
  <c r="F5" i="11"/>
  <c r="E5" i="11"/>
  <c r="C5" i="16" s="1"/>
  <c r="D5" i="11"/>
  <c r="C5" i="11"/>
  <c r="F65" i="15"/>
  <c r="G65" i="15"/>
  <c r="H65" i="15"/>
  <c r="I65" i="15"/>
  <c r="J65" i="15"/>
  <c r="K65" i="15"/>
  <c r="L65" i="15"/>
  <c r="M65" i="15"/>
  <c r="N65" i="15"/>
  <c r="O65" i="15"/>
  <c r="P65" i="15"/>
  <c r="Q65" i="15"/>
  <c r="R65" i="15"/>
  <c r="S65" i="15"/>
  <c r="T65" i="15"/>
  <c r="U65" i="15"/>
  <c r="V65" i="15"/>
  <c r="W65" i="15"/>
  <c r="X65" i="15"/>
  <c r="Y65" i="15"/>
  <c r="Z65" i="15"/>
  <c r="AA65" i="15"/>
  <c r="AB65" i="15"/>
  <c r="AC65" i="15"/>
  <c r="AD65" i="15"/>
  <c r="AE65" i="15"/>
  <c r="AF65" i="15"/>
  <c r="AG65" i="15"/>
  <c r="AH65" i="15"/>
  <c r="E65" i="15"/>
  <c r="F64" i="15"/>
  <c r="G64" i="15"/>
  <c r="H64" i="15"/>
  <c r="I64" i="15"/>
  <c r="J64" i="15"/>
  <c r="K64" i="15"/>
  <c r="L64" i="15"/>
  <c r="M64" i="15"/>
  <c r="N64" i="15"/>
  <c r="O64" i="15"/>
  <c r="P64" i="15"/>
  <c r="Q64" i="15"/>
  <c r="R64" i="15"/>
  <c r="S64" i="15"/>
  <c r="T64" i="15"/>
  <c r="U64" i="15"/>
  <c r="V64" i="15"/>
  <c r="W64" i="15"/>
  <c r="X64" i="15"/>
  <c r="Y64" i="15"/>
  <c r="Z64" i="15"/>
  <c r="AA64" i="15"/>
  <c r="AB64" i="15"/>
  <c r="AC64" i="15"/>
  <c r="AD64" i="15"/>
  <c r="AE64" i="15"/>
  <c r="AF64" i="15"/>
  <c r="AG64" i="15"/>
  <c r="AH64" i="15"/>
  <c r="E64" i="15"/>
  <c r="F62" i="15"/>
  <c r="G62" i="15"/>
  <c r="G66" i="15" s="1"/>
  <c r="F90" i="11" s="1"/>
  <c r="H62" i="15"/>
  <c r="H66" i="15" s="1"/>
  <c r="G90" i="11" s="1"/>
  <c r="I62" i="15"/>
  <c r="I66" i="15" s="1"/>
  <c r="H90" i="11" s="1"/>
  <c r="J62" i="15"/>
  <c r="K62" i="15"/>
  <c r="K66" i="15" s="1"/>
  <c r="J90" i="11" s="1"/>
  <c r="L62" i="15"/>
  <c r="L66" i="15" s="1"/>
  <c r="K90" i="11" s="1"/>
  <c r="M62" i="15"/>
  <c r="M66" i="15" s="1"/>
  <c r="L90" i="11" s="1"/>
  <c r="N62" i="15"/>
  <c r="O62" i="15"/>
  <c r="O66" i="15" s="1"/>
  <c r="N90" i="11" s="1"/>
  <c r="P62" i="15"/>
  <c r="P66" i="15" s="1"/>
  <c r="O90" i="11" s="1"/>
  <c r="Q62" i="15"/>
  <c r="Q66" i="15" s="1"/>
  <c r="P90" i="11" s="1"/>
  <c r="R62" i="15"/>
  <c r="R66" i="15" s="1"/>
  <c r="Q90" i="11" s="1"/>
  <c r="S62" i="15"/>
  <c r="S66" i="15" s="1"/>
  <c r="R90" i="11" s="1"/>
  <c r="T62" i="15"/>
  <c r="T66" i="15" s="1"/>
  <c r="S90" i="11" s="1"/>
  <c r="U62" i="15"/>
  <c r="U66" i="15" s="1"/>
  <c r="T90" i="11" s="1"/>
  <c r="V62" i="15"/>
  <c r="V66" i="15" s="1"/>
  <c r="U90" i="11" s="1"/>
  <c r="W62" i="15"/>
  <c r="W66" i="15" s="1"/>
  <c r="V90" i="11" s="1"/>
  <c r="X62" i="15"/>
  <c r="X66" i="15" s="1"/>
  <c r="W90" i="11" s="1"/>
  <c r="Y62" i="15"/>
  <c r="Y66" i="15" s="1"/>
  <c r="X90" i="11" s="1"/>
  <c r="Z62" i="15"/>
  <c r="AA62" i="15"/>
  <c r="AA66" i="15" s="1"/>
  <c r="Z90" i="11" s="1"/>
  <c r="AB62" i="15"/>
  <c r="AB66" i="15" s="1"/>
  <c r="AA90" i="11" s="1"/>
  <c r="AC62" i="15"/>
  <c r="AC66" i="15" s="1"/>
  <c r="AB90" i="11" s="1"/>
  <c r="AD62" i="15"/>
  <c r="AE62" i="15"/>
  <c r="AE66" i="15" s="1"/>
  <c r="AD90" i="11" s="1"/>
  <c r="AF62" i="15"/>
  <c r="AF66" i="15" s="1"/>
  <c r="AE90" i="11" s="1"/>
  <c r="AG62" i="15"/>
  <c r="AG66" i="15" s="1"/>
  <c r="AF90" i="11" s="1"/>
  <c r="AH62" i="15"/>
  <c r="AH66" i="15" s="1"/>
  <c r="AG90" i="11" s="1"/>
  <c r="E62" i="15"/>
  <c r="F60" i="15"/>
  <c r="G60" i="15"/>
  <c r="H60" i="15"/>
  <c r="I60" i="15"/>
  <c r="J60" i="15"/>
  <c r="K60" i="15"/>
  <c r="L60" i="15"/>
  <c r="M60" i="15"/>
  <c r="N60" i="15"/>
  <c r="O60" i="15"/>
  <c r="P60" i="15"/>
  <c r="Q60" i="15"/>
  <c r="R60" i="15"/>
  <c r="S60" i="15"/>
  <c r="T60" i="15"/>
  <c r="U60" i="15"/>
  <c r="V60" i="15"/>
  <c r="W60" i="15"/>
  <c r="X60" i="15"/>
  <c r="Y60" i="15"/>
  <c r="Z60" i="15"/>
  <c r="AA60" i="15"/>
  <c r="AB60" i="15"/>
  <c r="AC60" i="15"/>
  <c r="AD60" i="15"/>
  <c r="AE60" i="15"/>
  <c r="AF60" i="15"/>
  <c r="AG60" i="15"/>
  <c r="AH60" i="15"/>
  <c r="E60" i="15"/>
  <c r="F59" i="15"/>
  <c r="G59" i="15"/>
  <c r="H59" i="15"/>
  <c r="I59" i="15"/>
  <c r="J59" i="15"/>
  <c r="K59" i="15"/>
  <c r="L59" i="15"/>
  <c r="M59" i="15"/>
  <c r="N59" i="15"/>
  <c r="O59" i="15"/>
  <c r="P59" i="15"/>
  <c r="Q59" i="15"/>
  <c r="R59" i="15"/>
  <c r="S59" i="15"/>
  <c r="T59" i="15"/>
  <c r="U59" i="15"/>
  <c r="V59" i="15"/>
  <c r="W59" i="15"/>
  <c r="X59" i="15"/>
  <c r="Y59" i="15"/>
  <c r="Z59" i="15"/>
  <c r="AA59" i="15"/>
  <c r="AB59" i="15"/>
  <c r="AC59" i="15"/>
  <c r="AD59" i="15"/>
  <c r="AE59" i="15"/>
  <c r="AF59" i="15"/>
  <c r="AG59" i="15"/>
  <c r="AH59" i="15"/>
  <c r="E59" i="15"/>
  <c r="F58" i="15"/>
  <c r="G58" i="15"/>
  <c r="H58" i="15"/>
  <c r="I58" i="15"/>
  <c r="J58" i="15"/>
  <c r="K58" i="15"/>
  <c r="L58" i="15"/>
  <c r="M58" i="15"/>
  <c r="N58" i="15"/>
  <c r="O58" i="15"/>
  <c r="P58" i="15"/>
  <c r="Q58" i="15"/>
  <c r="R58" i="15"/>
  <c r="S58" i="15"/>
  <c r="T58" i="15"/>
  <c r="U58" i="15"/>
  <c r="V58" i="15"/>
  <c r="W58" i="15"/>
  <c r="X58" i="15"/>
  <c r="Y58" i="15"/>
  <c r="Z58" i="15"/>
  <c r="AA58" i="15"/>
  <c r="AB58" i="15"/>
  <c r="AC58" i="15"/>
  <c r="AD58" i="15"/>
  <c r="AE58" i="15"/>
  <c r="AF58" i="15"/>
  <c r="AG58" i="15"/>
  <c r="AH58" i="15"/>
  <c r="E58" i="15"/>
  <c r="F56" i="15"/>
  <c r="G56" i="15"/>
  <c r="H56" i="15"/>
  <c r="I56" i="15"/>
  <c r="J56" i="15"/>
  <c r="K56" i="15"/>
  <c r="L56" i="15"/>
  <c r="M56" i="15"/>
  <c r="N56" i="15"/>
  <c r="O56" i="15"/>
  <c r="P56" i="15"/>
  <c r="Q56" i="15"/>
  <c r="R56" i="15"/>
  <c r="S56" i="15"/>
  <c r="T56" i="15"/>
  <c r="U56" i="15"/>
  <c r="V56" i="15"/>
  <c r="W56" i="15"/>
  <c r="X56" i="15"/>
  <c r="Y56" i="15"/>
  <c r="Z56" i="15"/>
  <c r="AA56" i="15"/>
  <c r="AB56" i="15"/>
  <c r="AC56" i="15"/>
  <c r="AD56" i="15"/>
  <c r="AE56" i="15"/>
  <c r="AF56" i="15"/>
  <c r="AG56" i="15"/>
  <c r="AH56" i="15"/>
  <c r="E56" i="15"/>
  <c r="F55" i="15"/>
  <c r="G55" i="15"/>
  <c r="H55" i="15"/>
  <c r="I55" i="15"/>
  <c r="J55" i="15"/>
  <c r="K55" i="15"/>
  <c r="L55" i="15"/>
  <c r="M55" i="15"/>
  <c r="N55" i="15"/>
  <c r="O55" i="15"/>
  <c r="P55" i="15"/>
  <c r="Q55" i="15"/>
  <c r="R55" i="15"/>
  <c r="S55" i="15"/>
  <c r="T55" i="15"/>
  <c r="U55" i="15"/>
  <c r="V55" i="15"/>
  <c r="W55" i="15"/>
  <c r="X55" i="15"/>
  <c r="Y55" i="15"/>
  <c r="Z55" i="15"/>
  <c r="AA55" i="15"/>
  <c r="AB55" i="15"/>
  <c r="AC55" i="15"/>
  <c r="AD55" i="15"/>
  <c r="AE55" i="15"/>
  <c r="AF55" i="15"/>
  <c r="AG55" i="15"/>
  <c r="AH55" i="15"/>
  <c r="E55" i="15"/>
  <c r="F54" i="15"/>
  <c r="G54" i="15"/>
  <c r="G57" i="15" s="1"/>
  <c r="F88" i="11" s="1"/>
  <c r="H54" i="15"/>
  <c r="I54" i="15"/>
  <c r="J54" i="15"/>
  <c r="K54" i="15"/>
  <c r="K57" i="15" s="1"/>
  <c r="J88" i="11" s="1"/>
  <c r="L54" i="15"/>
  <c r="M54" i="15"/>
  <c r="N54" i="15"/>
  <c r="O54" i="15"/>
  <c r="O57" i="15" s="1"/>
  <c r="N88" i="11" s="1"/>
  <c r="P54" i="15"/>
  <c r="Q54" i="15"/>
  <c r="R54" i="15"/>
  <c r="S54" i="15"/>
  <c r="S57" i="15" s="1"/>
  <c r="R88" i="11" s="1"/>
  <c r="T54" i="15"/>
  <c r="U54" i="15"/>
  <c r="V54" i="15"/>
  <c r="W54" i="15"/>
  <c r="W57" i="15" s="1"/>
  <c r="V88" i="11" s="1"/>
  <c r="X54" i="15"/>
  <c r="Y54" i="15"/>
  <c r="Z54" i="15"/>
  <c r="AA54" i="15"/>
  <c r="AB54" i="15"/>
  <c r="AC54" i="15"/>
  <c r="AD54" i="15"/>
  <c r="AE54" i="15"/>
  <c r="AE57" i="15" s="1"/>
  <c r="AD88" i="11" s="1"/>
  <c r="AF54" i="15"/>
  <c r="AG54" i="15"/>
  <c r="AH54" i="15"/>
  <c r="E54" i="15"/>
  <c r="F50" i="15"/>
  <c r="G50" i="15"/>
  <c r="H50" i="15"/>
  <c r="I50" i="15"/>
  <c r="J50" i="15"/>
  <c r="K50" i="15"/>
  <c r="L50" i="15"/>
  <c r="M50" i="15"/>
  <c r="N50" i="15"/>
  <c r="O50" i="15"/>
  <c r="P50" i="15"/>
  <c r="Q50" i="15"/>
  <c r="R50" i="15"/>
  <c r="S50" i="15"/>
  <c r="T50" i="15"/>
  <c r="U50" i="15"/>
  <c r="V50" i="15"/>
  <c r="W50" i="15"/>
  <c r="X50" i="15"/>
  <c r="Y50" i="15"/>
  <c r="Z50" i="15"/>
  <c r="AA50" i="15"/>
  <c r="AB50" i="15"/>
  <c r="AC50" i="15"/>
  <c r="AD50" i="15"/>
  <c r="AE50" i="15"/>
  <c r="AF50" i="15"/>
  <c r="AG50" i="15"/>
  <c r="AH50" i="15"/>
  <c r="E50" i="15"/>
  <c r="G52" i="15"/>
  <c r="H52" i="15"/>
  <c r="I52" i="15"/>
  <c r="J52" i="15"/>
  <c r="K52" i="15"/>
  <c r="L52" i="15"/>
  <c r="M52" i="15"/>
  <c r="N52" i="15"/>
  <c r="O52" i="15"/>
  <c r="P52" i="15"/>
  <c r="Q52" i="15"/>
  <c r="R52" i="15"/>
  <c r="S52" i="15"/>
  <c r="T52" i="15"/>
  <c r="U52" i="15"/>
  <c r="V52" i="15"/>
  <c r="W52" i="15"/>
  <c r="X52" i="15"/>
  <c r="Y52" i="15"/>
  <c r="Z52" i="15"/>
  <c r="AA52" i="15"/>
  <c r="AB52" i="15"/>
  <c r="AC52" i="15"/>
  <c r="AD52" i="15"/>
  <c r="AE52" i="15"/>
  <c r="AF52" i="15"/>
  <c r="AG52" i="15"/>
  <c r="AH52" i="15"/>
  <c r="F52" i="15"/>
  <c r="E52" i="15"/>
  <c r="F51" i="15"/>
  <c r="G51" i="15"/>
  <c r="H51" i="15"/>
  <c r="I51" i="15"/>
  <c r="J51" i="15"/>
  <c r="K51" i="15"/>
  <c r="L51" i="15"/>
  <c r="M51" i="15"/>
  <c r="N51" i="15"/>
  <c r="O51" i="15"/>
  <c r="P51" i="15"/>
  <c r="Q51" i="15"/>
  <c r="R51" i="15"/>
  <c r="S51" i="15"/>
  <c r="T51" i="15"/>
  <c r="U51" i="15"/>
  <c r="V51" i="15"/>
  <c r="W51" i="15"/>
  <c r="X51" i="15"/>
  <c r="Y51" i="15"/>
  <c r="Z51" i="15"/>
  <c r="AA51" i="15"/>
  <c r="AB51" i="15"/>
  <c r="AC51" i="15"/>
  <c r="AD51" i="15"/>
  <c r="AE51" i="15"/>
  <c r="AF51" i="15"/>
  <c r="AG51" i="15"/>
  <c r="AH51" i="15"/>
  <c r="E51" i="15"/>
  <c r="F36" i="15"/>
  <c r="G36" i="15"/>
  <c r="H36" i="15"/>
  <c r="I36" i="15"/>
  <c r="J36" i="15"/>
  <c r="K36" i="15"/>
  <c r="L36" i="15"/>
  <c r="M36" i="15"/>
  <c r="N36" i="15"/>
  <c r="O36" i="15"/>
  <c r="P36" i="15"/>
  <c r="Q36" i="15"/>
  <c r="R36" i="15"/>
  <c r="S36" i="15"/>
  <c r="T36" i="15"/>
  <c r="U36" i="15"/>
  <c r="V36" i="15"/>
  <c r="W36" i="15"/>
  <c r="X36" i="15"/>
  <c r="Y36" i="15"/>
  <c r="Z36" i="15"/>
  <c r="AA36" i="15"/>
  <c r="AB36" i="15"/>
  <c r="AC36" i="15"/>
  <c r="AD36" i="15"/>
  <c r="AE36" i="15"/>
  <c r="AF36" i="15"/>
  <c r="AG36" i="15"/>
  <c r="AH36" i="15"/>
  <c r="A117" i="11"/>
  <c r="B117" i="11"/>
  <c r="A109" i="11"/>
  <c r="B109" i="11"/>
  <c r="A110" i="11"/>
  <c r="B110" i="11"/>
  <c r="D110" i="11" s="1"/>
  <c r="A111" i="11"/>
  <c r="B111" i="11"/>
  <c r="D111" i="11" s="1"/>
  <c r="A112" i="11"/>
  <c r="B112" i="11"/>
  <c r="D112" i="11" s="1"/>
  <c r="A113" i="11"/>
  <c r="B113" i="11"/>
  <c r="A114" i="11"/>
  <c r="B114" i="11"/>
  <c r="A115" i="11"/>
  <c r="B115" i="11"/>
  <c r="A116" i="11"/>
  <c r="B116" i="11"/>
  <c r="B108" i="11"/>
  <c r="D108" i="11" s="1"/>
  <c r="A108" i="11"/>
  <c r="E36" i="15"/>
  <c r="D53" i="15"/>
  <c r="C87" i="11" s="1"/>
  <c r="I53" i="15" l="1"/>
  <c r="H87" i="11" s="1"/>
  <c r="U53" i="15"/>
  <c r="T87" i="11" s="1"/>
  <c r="AE53" i="15"/>
  <c r="AD87" i="11" s="1"/>
  <c r="AA53" i="15"/>
  <c r="Z87" i="11" s="1"/>
  <c r="W53" i="15"/>
  <c r="V87" i="11" s="1"/>
  <c r="S53" i="15"/>
  <c r="R87" i="11" s="1"/>
  <c r="O53" i="15"/>
  <c r="N87" i="11" s="1"/>
  <c r="K53" i="15"/>
  <c r="J87" i="11" s="1"/>
  <c r="G53" i="15"/>
  <c r="F87" i="11" s="1"/>
  <c r="L61" i="15"/>
  <c r="K89" i="11" s="1"/>
  <c r="H61" i="15"/>
  <c r="G89" i="11" s="1"/>
  <c r="AF53" i="15"/>
  <c r="AE87" i="11" s="1"/>
  <c r="P53" i="15"/>
  <c r="O87" i="11" s="1"/>
  <c r="AF57" i="15"/>
  <c r="AE88" i="11" s="1"/>
  <c r="AB57" i="15"/>
  <c r="AA88" i="11" s="1"/>
  <c r="X57" i="15"/>
  <c r="W88" i="11" s="1"/>
  <c r="T57" i="15"/>
  <c r="S88" i="11" s="1"/>
  <c r="P57" i="15"/>
  <c r="O88" i="11" s="1"/>
  <c r="L57" i="15"/>
  <c r="K88" i="11" s="1"/>
  <c r="H57" i="15"/>
  <c r="G88" i="11" s="1"/>
  <c r="AB53" i="15"/>
  <c r="AA87" i="11" s="1"/>
  <c r="X53" i="15"/>
  <c r="W87" i="11" s="1"/>
  <c r="T53" i="15"/>
  <c r="S87" i="11" s="1"/>
  <c r="L53" i="15"/>
  <c r="K87" i="11" s="1"/>
  <c r="AF61" i="15"/>
  <c r="AE89" i="11" s="1"/>
  <c r="AB61" i="15"/>
  <c r="AA89" i="11" s="1"/>
  <c r="X61" i="15"/>
  <c r="W89" i="11" s="1"/>
  <c r="T61" i="15"/>
  <c r="S89" i="11" s="1"/>
  <c r="P61" i="15"/>
  <c r="O89" i="11" s="1"/>
  <c r="AA57" i="15"/>
  <c r="Z88" i="11" s="1"/>
  <c r="S61" i="15"/>
  <c r="R89" i="11" s="1"/>
  <c r="AD66" i="15"/>
  <c r="AC90" i="11" s="1"/>
  <c r="Z66" i="15"/>
  <c r="Y90" i="11" s="1"/>
  <c r="N66" i="15"/>
  <c r="M90" i="11" s="1"/>
  <c r="J66" i="15"/>
  <c r="I90" i="11" s="1"/>
  <c r="F110" i="11"/>
  <c r="J110" i="11"/>
  <c r="N110" i="11"/>
  <c r="R110" i="11"/>
  <c r="V110" i="11"/>
  <c r="Z110" i="11"/>
  <c r="AD110" i="11"/>
  <c r="Q110" i="11"/>
  <c r="AC110" i="11"/>
  <c r="G110" i="11"/>
  <c r="K110" i="11"/>
  <c r="O110" i="11"/>
  <c r="S110" i="11"/>
  <c r="W110" i="11"/>
  <c r="AA110" i="11"/>
  <c r="AE110" i="11"/>
  <c r="E110" i="11"/>
  <c r="I110" i="11"/>
  <c r="U110" i="11"/>
  <c r="H110" i="11"/>
  <c r="L110" i="11"/>
  <c r="P110" i="11"/>
  <c r="T110" i="11"/>
  <c r="X110" i="11"/>
  <c r="AB110" i="11"/>
  <c r="AF110" i="11"/>
  <c r="M110" i="11"/>
  <c r="Y110" i="11"/>
  <c r="AG110" i="11"/>
  <c r="F112" i="11"/>
  <c r="J112" i="11"/>
  <c r="N112" i="11"/>
  <c r="R112" i="11"/>
  <c r="V112" i="11"/>
  <c r="Z112" i="11"/>
  <c r="AD112" i="11"/>
  <c r="M112" i="11"/>
  <c r="G112" i="11"/>
  <c r="K112" i="11"/>
  <c r="O112" i="11"/>
  <c r="S112" i="11"/>
  <c r="W112" i="11"/>
  <c r="AA112" i="11"/>
  <c r="AE112" i="11"/>
  <c r="I112" i="11"/>
  <c r="U112" i="11"/>
  <c r="AG112" i="11"/>
  <c r="H112" i="11"/>
  <c r="L112" i="11"/>
  <c r="P112" i="11"/>
  <c r="T112" i="11"/>
  <c r="X112" i="11"/>
  <c r="AB112" i="11"/>
  <c r="AF112" i="11"/>
  <c r="Q112" i="11"/>
  <c r="Y112" i="11"/>
  <c r="AC112" i="11"/>
  <c r="E112" i="11"/>
  <c r="F111" i="11"/>
  <c r="J111" i="11"/>
  <c r="N111" i="11"/>
  <c r="R111" i="11"/>
  <c r="V111" i="11"/>
  <c r="Z111" i="11"/>
  <c r="AD111" i="11"/>
  <c r="M111" i="11"/>
  <c r="U111" i="11"/>
  <c r="AG111" i="11"/>
  <c r="G111" i="11"/>
  <c r="K111" i="11"/>
  <c r="O111" i="11"/>
  <c r="S111" i="11"/>
  <c r="W111" i="11"/>
  <c r="AA111" i="11"/>
  <c r="AE111" i="11"/>
  <c r="I111" i="11"/>
  <c r="Y111" i="11"/>
  <c r="H111" i="11"/>
  <c r="L111" i="11"/>
  <c r="P111" i="11"/>
  <c r="T111" i="11"/>
  <c r="X111" i="11"/>
  <c r="AB111" i="11"/>
  <c r="AF111" i="11"/>
  <c r="E111" i="11"/>
  <c r="Q111" i="11"/>
  <c r="AC111" i="11"/>
  <c r="F108" i="11"/>
  <c r="J108" i="11"/>
  <c r="N108" i="11"/>
  <c r="R108" i="11"/>
  <c r="V108" i="11"/>
  <c r="Z108" i="11"/>
  <c r="AD108" i="11"/>
  <c r="M108" i="11"/>
  <c r="U108" i="11"/>
  <c r="AC108" i="11"/>
  <c r="G108" i="11"/>
  <c r="K108" i="11"/>
  <c r="O108" i="11"/>
  <c r="S108" i="11"/>
  <c r="W108" i="11"/>
  <c r="AA108" i="11"/>
  <c r="AE108" i="11"/>
  <c r="E108" i="11"/>
  <c r="Q108" i="11"/>
  <c r="H108" i="11"/>
  <c r="L108" i="11"/>
  <c r="P108" i="11"/>
  <c r="T108" i="11"/>
  <c r="X108" i="11"/>
  <c r="AB108" i="11"/>
  <c r="AF108" i="11"/>
  <c r="I108" i="11"/>
  <c r="Y108" i="11"/>
  <c r="AG108" i="11"/>
  <c r="AE61" i="15"/>
  <c r="AD89" i="11" s="1"/>
  <c r="AA61" i="15"/>
  <c r="Z89" i="11" s="1"/>
  <c r="W61" i="15"/>
  <c r="V89" i="11" s="1"/>
  <c r="O61" i="15"/>
  <c r="N89" i="11" s="1"/>
  <c r="K61" i="15"/>
  <c r="J89" i="11" s="1"/>
  <c r="G61" i="15"/>
  <c r="F89" i="11" s="1"/>
  <c r="AH57" i="15"/>
  <c r="AG88" i="11" s="1"/>
  <c r="AD57" i="15"/>
  <c r="AC88" i="11" s="1"/>
  <c r="Z57" i="15"/>
  <c r="Y88" i="11" s="1"/>
  <c r="V57" i="15"/>
  <c r="U88" i="11" s="1"/>
  <c r="R57" i="15"/>
  <c r="Q88" i="11" s="1"/>
  <c r="N57" i="15"/>
  <c r="M88" i="11" s="1"/>
  <c r="J57" i="15"/>
  <c r="I88" i="11" s="1"/>
  <c r="H53" i="15"/>
  <c r="G87" i="11" s="1"/>
  <c r="AH53" i="15"/>
  <c r="AG87" i="11" s="1"/>
  <c r="Z53" i="15"/>
  <c r="Y87" i="11" s="1"/>
  <c r="V53" i="15"/>
  <c r="U87" i="11" s="1"/>
  <c r="R53" i="15"/>
  <c r="Q87" i="11" s="1"/>
  <c r="N53" i="15"/>
  <c r="M87" i="11" s="1"/>
  <c r="J53" i="15"/>
  <c r="I87" i="11" s="1"/>
  <c r="F53" i="15"/>
  <c r="E87" i="11" s="1"/>
  <c r="E53" i="15"/>
  <c r="D87" i="11" s="1"/>
  <c r="AH61" i="15"/>
  <c r="AG89" i="11" s="1"/>
  <c r="AD61" i="15"/>
  <c r="AC89" i="11" s="1"/>
  <c r="Z61" i="15"/>
  <c r="Y89" i="11" s="1"/>
  <c r="V61" i="15"/>
  <c r="U89" i="11" s="1"/>
  <c r="R61" i="15"/>
  <c r="Q89" i="11" s="1"/>
  <c r="N61" i="15"/>
  <c r="M89" i="11" s="1"/>
  <c r="J61" i="15"/>
  <c r="I89" i="11" s="1"/>
  <c r="AG53" i="15"/>
  <c r="AF87" i="11" s="1"/>
  <c r="AC53" i="15"/>
  <c r="AB87" i="11" s="1"/>
  <c r="Y53" i="15"/>
  <c r="X87" i="11" s="1"/>
  <c r="Q53" i="15"/>
  <c r="P87" i="11" s="1"/>
  <c r="M53" i="15"/>
  <c r="L87" i="11" s="1"/>
  <c r="AG57" i="15"/>
  <c r="AF88" i="11" s="1"/>
  <c r="AC57" i="15"/>
  <c r="AB88" i="11" s="1"/>
  <c r="Y57" i="15"/>
  <c r="X88" i="11" s="1"/>
  <c r="U57" i="15"/>
  <c r="T88" i="11" s="1"/>
  <c r="Q57" i="15"/>
  <c r="P88" i="11" s="1"/>
  <c r="M57" i="15"/>
  <c r="L88" i="11" s="1"/>
  <c r="I57" i="15"/>
  <c r="H88" i="11" s="1"/>
  <c r="AG61" i="15"/>
  <c r="AF89" i="11" s="1"/>
  <c r="AC61" i="15"/>
  <c r="AB89" i="11" s="1"/>
  <c r="Y61" i="15"/>
  <c r="X89" i="11" s="1"/>
  <c r="U61" i="15"/>
  <c r="T89" i="11" s="1"/>
  <c r="Q61" i="15"/>
  <c r="P89" i="11" s="1"/>
  <c r="M61" i="15"/>
  <c r="L89" i="11" s="1"/>
  <c r="I61" i="15"/>
  <c r="H89" i="11" s="1"/>
  <c r="AD53" i="15"/>
  <c r="AC87" i="11" s="1"/>
  <c r="D65" i="15" l="1"/>
  <c r="D58" i="15"/>
  <c r="D60" i="15" l="1"/>
  <c r="D61" i="15" s="1"/>
  <c r="C89" i="11" s="1"/>
  <c r="E61" i="15" l="1"/>
  <c r="D89" i="11" s="1"/>
  <c r="D56" i="15" l="1"/>
  <c r="E57" i="15" l="1"/>
  <c r="D88" i="11" s="1"/>
  <c r="B26" i="15" l="1"/>
  <c r="A76" i="15" l="1"/>
  <c r="A77" i="15"/>
  <c r="A78" i="15"/>
  <c r="A80" i="15"/>
  <c r="A81" i="15"/>
  <c r="A82" i="15"/>
  <c r="A83" i="15"/>
  <c r="A84" i="15"/>
  <c r="A85" i="15"/>
  <c r="A86" i="15"/>
  <c r="A87" i="15"/>
  <c r="A88" i="15"/>
  <c r="A89" i="15"/>
  <c r="A90" i="15"/>
  <c r="A91" i="15"/>
  <c r="Q6" i="14"/>
  <c r="Q7" i="14" s="1"/>
  <c r="Q10" i="14" s="1"/>
  <c r="Q13" i="14" s="1"/>
  <c r="Q5" i="14"/>
  <c r="F6" i="14"/>
  <c r="F5" i="14"/>
  <c r="B82" i="11"/>
  <c r="B83" i="11"/>
  <c r="B84" i="11"/>
  <c r="B85" i="11"/>
  <c r="B86" i="11"/>
  <c r="B87" i="11"/>
  <c r="B88" i="11"/>
  <c r="B89" i="11"/>
  <c r="B90" i="11"/>
  <c r="A82" i="11"/>
  <c r="A83" i="11"/>
  <c r="A84" i="11"/>
  <c r="A85" i="11"/>
  <c r="A86" i="11"/>
  <c r="A87" i="11"/>
  <c r="A88" i="11"/>
  <c r="A89" i="11"/>
  <c r="A90" i="11"/>
  <c r="B44" i="15"/>
  <c r="A44" i="15"/>
  <c r="B11" i="13"/>
  <c r="B12" i="13"/>
  <c r="B13" i="13"/>
  <c r="B14" i="13"/>
  <c r="B15" i="13"/>
  <c r="B16" i="13"/>
  <c r="B17" i="13"/>
  <c r="B18" i="13"/>
  <c r="B19" i="13"/>
  <c r="A11" i="13"/>
  <c r="A12" i="13"/>
  <c r="A13" i="13"/>
  <c r="A14" i="13"/>
  <c r="A15" i="13"/>
  <c r="A16" i="13"/>
  <c r="A17" i="13"/>
  <c r="A18" i="13"/>
  <c r="A19" i="13"/>
  <c r="F66" i="15"/>
  <c r="E90" i="11" s="1"/>
  <c r="D66" i="15"/>
  <c r="C90" i="11" s="1"/>
  <c r="E66" i="15"/>
  <c r="D90" i="11" s="1"/>
  <c r="A62" i="15"/>
  <c r="B62" i="15"/>
  <c r="F61" i="15"/>
  <c r="E89" i="11" s="1"/>
  <c r="D57" i="15"/>
  <c r="C88" i="11" s="1"/>
  <c r="G44" i="1"/>
  <c r="G45" i="1"/>
  <c r="G46" i="1"/>
  <c r="B58" i="15"/>
  <c r="A58" i="15"/>
  <c r="F57" i="15"/>
  <c r="E88" i="11" s="1"/>
  <c r="B54" i="15"/>
  <c r="A54" i="15"/>
  <c r="B50" i="15"/>
  <c r="A50" i="15"/>
  <c r="B42" i="15"/>
  <c r="A42" i="15"/>
  <c r="B40" i="15"/>
  <c r="A40" i="15"/>
  <c r="B38" i="15"/>
  <c r="A38" i="15"/>
  <c r="E82" i="11"/>
  <c r="B35" i="15"/>
  <c r="A35" i="15"/>
  <c r="H81" i="11"/>
  <c r="B33" i="15"/>
  <c r="A33" i="15"/>
  <c r="Q18" i="14" l="1"/>
  <c r="Q8" i="18" s="1"/>
  <c r="Q8" i="14"/>
  <c r="Q11" i="14" s="1"/>
  <c r="Q14" i="14" s="1"/>
  <c r="Q19" i="14" s="1"/>
  <c r="Q9" i="18" s="1"/>
  <c r="AA81" i="11"/>
  <c r="S81" i="11"/>
  <c r="K81" i="11"/>
  <c r="D81" i="11"/>
  <c r="Z81" i="11"/>
  <c r="R81" i="11"/>
  <c r="J81" i="11"/>
  <c r="AE81" i="11"/>
  <c r="W81" i="11"/>
  <c r="O81" i="11"/>
  <c r="G81" i="11"/>
  <c r="AD81" i="11"/>
  <c r="V81" i="11"/>
  <c r="N81" i="11"/>
  <c r="F81" i="11"/>
  <c r="AG81" i="11"/>
  <c r="AC81" i="11"/>
  <c r="Y81" i="11"/>
  <c r="U81" i="11"/>
  <c r="Q81" i="11"/>
  <c r="M81" i="11"/>
  <c r="I81" i="11"/>
  <c r="E81" i="11"/>
  <c r="AF81" i="11"/>
  <c r="AB81" i="11"/>
  <c r="X81" i="11"/>
  <c r="T81" i="11"/>
  <c r="P81" i="11"/>
  <c r="L81" i="11"/>
  <c r="AF82" i="11"/>
  <c r="AB82" i="11"/>
  <c r="X82" i="11"/>
  <c r="T82" i="11"/>
  <c r="P82" i="11"/>
  <c r="L82" i="11"/>
  <c r="H82" i="11"/>
  <c r="AE82" i="11"/>
  <c r="AA82" i="11"/>
  <c r="W82" i="11"/>
  <c r="S82" i="11"/>
  <c r="O82" i="11"/>
  <c r="K82" i="11"/>
  <c r="G82" i="11"/>
  <c r="D82" i="11"/>
  <c r="AD82" i="11"/>
  <c r="Z82" i="11"/>
  <c r="V82" i="11"/>
  <c r="R82" i="11"/>
  <c r="N82" i="11"/>
  <c r="J82" i="11"/>
  <c r="F82" i="11"/>
  <c r="AG82" i="11"/>
  <c r="AC82" i="11"/>
  <c r="Y82" i="11"/>
  <c r="U82" i="11"/>
  <c r="Q82" i="11"/>
  <c r="M82" i="11"/>
  <c r="I82" i="11"/>
  <c r="Q20" i="14" l="1"/>
  <c r="Q10" i="18" s="1"/>
  <c r="Q15" i="14"/>
  <c r="B29" i="15"/>
  <c r="G42" i="1" s="1"/>
  <c r="H3" i="2" s="1"/>
  <c r="D44" i="15" l="1"/>
  <c r="B27" i="15"/>
  <c r="G47" i="15" l="1"/>
  <c r="K47" i="15"/>
  <c r="O47" i="15"/>
  <c r="S47" i="15"/>
  <c r="W47" i="15"/>
  <c r="AA47" i="15"/>
  <c r="AE47" i="15"/>
  <c r="E47" i="15"/>
  <c r="H47" i="15"/>
  <c r="L47" i="15"/>
  <c r="P47" i="15"/>
  <c r="T47" i="15"/>
  <c r="X47" i="15"/>
  <c r="AB47" i="15"/>
  <c r="AF47" i="15"/>
  <c r="I47" i="15"/>
  <c r="M47" i="15"/>
  <c r="Q47" i="15"/>
  <c r="U47" i="15"/>
  <c r="Y47" i="15"/>
  <c r="AC47" i="15"/>
  <c r="AG47" i="15"/>
  <c r="F47" i="15"/>
  <c r="J47" i="15"/>
  <c r="N47" i="15"/>
  <c r="R47" i="15"/>
  <c r="V47" i="15"/>
  <c r="Z47" i="15"/>
  <c r="AD47" i="15"/>
  <c r="AH47" i="15"/>
  <c r="B28" i="15"/>
  <c r="D45" i="15"/>
  <c r="D49" i="15" s="1"/>
  <c r="C86" i="11" s="1"/>
  <c r="G45" i="15" l="1"/>
  <c r="K45" i="15"/>
  <c r="S45" i="15"/>
  <c r="AA45" i="15"/>
  <c r="AA49" i="15" s="1"/>
  <c r="AE45" i="15"/>
  <c r="H45" i="15"/>
  <c r="L45" i="15"/>
  <c r="P45" i="15"/>
  <c r="T45" i="15"/>
  <c r="X45" i="15"/>
  <c r="AB45" i="15"/>
  <c r="AF45" i="15"/>
  <c r="I45" i="15"/>
  <c r="M45" i="15"/>
  <c r="Q45" i="15"/>
  <c r="U45" i="15"/>
  <c r="U49" i="15" s="1"/>
  <c r="Y45" i="15"/>
  <c r="AC45" i="15"/>
  <c r="AG45" i="15"/>
  <c r="W45" i="15"/>
  <c r="F45" i="15"/>
  <c r="J45" i="15"/>
  <c r="N45" i="15"/>
  <c r="R45" i="15"/>
  <c r="V45" i="15"/>
  <c r="Z45" i="15"/>
  <c r="AD45" i="15"/>
  <c r="AH45" i="15"/>
  <c r="O45" i="15"/>
  <c r="E45" i="15"/>
  <c r="I46" i="15"/>
  <c r="M46" i="15"/>
  <c r="Q46" i="15"/>
  <c r="U46" i="15"/>
  <c r="Y46" i="15"/>
  <c r="AC46" i="15"/>
  <c r="AG46" i="15"/>
  <c r="F46" i="15"/>
  <c r="J46" i="15"/>
  <c r="N46" i="15"/>
  <c r="R46" i="15"/>
  <c r="V46" i="15"/>
  <c r="Z46" i="15"/>
  <c r="AD46" i="15"/>
  <c r="AH46" i="15"/>
  <c r="G46" i="15"/>
  <c r="K46" i="15"/>
  <c r="O46" i="15"/>
  <c r="S46" i="15"/>
  <c r="W46" i="15"/>
  <c r="AA46" i="15"/>
  <c r="AE46" i="15"/>
  <c r="E46" i="15"/>
  <c r="H46" i="15"/>
  <c r="L46" i="15"/>
  <c r="P46" i="15"/>
  <c r="T46" i="15"/>
  <c r="X46" i="15"/>
  <c r="AB46" i="15"/>
  <c r="AF46" i="15"/>
  <c r="S44" i="15"/>
  <c r="S49" i="15" l="1"/>
  <c r="AH49" i="15"/>
  <c r="R49" i="15"/>
  <c r="Z49" i="15"/>
  <c r="J49" i="15"/>
  <c r="Y49" i="15"/>
  <c r="I49" i="15"/>
  <c r="W49" i="15"/>
  <c r="AF49" i="15"/>
  <c r="P49" i="15"/>
  <c r="AD49" i="15"/>
  <c r="N49" i="15"/>
  <c r="AG49" i="15"/>
  <c r="Q49" i="15"/>
  <c r="AB49" i="15"/>
  <c r="L49" i="15"/>
  <c r="E49" i="15"/>
  <c r="AC49" i="15"/>
  <c r="M49" i="15"/>
  <c r="X49" i="15"/>
  <c r="H49" i="15"/>
  <c r="K49" i="15"/>
  <c r="O49" i="15"/>
  <c r="V49" i="15"/>
  <c r="F49" i="15"/>
  <c r="T49" i="15"/>
  <c r="AE49" i="15"/>
  <c r="G49" i="15"/>
  <c r="B97" i="11"/>
  <c r="D97" i="11" s="1"/>
  <c r="A97" i="11"/>
  <c r="F86" i="11" l="1"/>
  <c r="I86" i="11"/>
  <c r="M86" i="11"/>
  <c r="Q86" i="11"/>
  <c r="U86" i="11"/>
  <c r="Y86" i="11"/>
  <c r="AC86" i="11"/>
  <c r="AG86" i="11"/>
  <c r="H86" i="11"/>
  <c r="P86" i="11"/>
  <c r="X86" i="11"/>
  <c r="AF86" i="11"/>
  <c r="D86" i="11"/>
  <c r="J86" i="11"/>
  <c r="N86" i="11"/>
  <c r="R86" i="11"/>
  <c r="V86" i="11"/>
  <c r="Z86" i="11"/>
  <c r="AD86" i="11"/>
  <c r="G86" i="11"/>
  <c r="K86" i="11"/>
  <c r="O86" i="11"/>
  <c r="S86" i="11"/>
  <c r="W86" i="11"/>
  <c r="AA86" i="11"/>
  <c r="AE86" i="11"/>
  <c r="E86" i="11"/>
  <c r="L86" i="11"/>
  <c r="T86" i="11"/>
  <c r="AB86" i="11"/>
  <c r="R97" i="11"/>
  <c r="L97" i="11"/>
  <c r="K97" i="11"/>
  <c r="AA97" i="11"/>
  <c r="P97" i="11"/>
  <c r="M97" i="11"/>
  <c r="N97" i="11"/>
  <c r="F97" i="11"/>
  <c r="V97" i="11"/>
  <c r="X97" i="11"/>
  <c r="O97" i="11"/>
  <c r="AE97" i="11"/>
  <c r="T97" i="11"/>
  <c r="AG97" i="11"/>
  <c r="J97" i="11"/>
  <c r="Z97" i="11"/>
  <c r="AF97" i="11"/>
  <c r="S97" i="11"/>
  <c r="E97" i="11"/>
  <c r="AB97" i="11"/>
  <c r="U97" i="11"/>
  <c r="Y97" i="11"/>
  <c r="Q97" i="11"/>
  <c r="AD97" i="11"/>
  <c r="G97" i="11"/>
  <c r="W97" i="11"/>
  <c r="H97" i="11"/>
  <c r="AC97" i="11"/>
  <c r="I97" i="11"/>
  <c r="D33" i="2"/>
  <c r="E9" i="11" s="1"/>
  <c r="C9" i="16" s="1"/>
  <c r="D34" i="2"/>
  <c r="E10" i="11" s="1"/>
  <c r="C10" i="16" s="1"/>
  <c r="D37" i="2"/>
  <c r="E13" i="11" s="1"/>
  <c r="C13" i="16" s="1"/>
  <c r="D41" i="2"/>
  <c r="E17" i="11" s="1"/>
  <c r="C17" i="16" s="1"/>
  <c r="D43" i="2"/>
  <c r="E19" i="11" s="1"/>
  <c r="D45" i="2"/>
  <c r="E21" i="11" s="1"/>
  <c r="D46" i="2"/>
  <c r="E22" i="11" s="1"/>
  <c r="D47" i="2"/>
  <c r="E23" i="11" s="1"/>
  <c r="D48" i="2"/>
  <c r="E24" i="11" s="1"/>
  <c r="D49" i="2"/>
  <c r="E25" i="11" s="1"/>
  <c r="C32" i="2" l="1"/>
  <c r="D8" i="11" s="1"/>
  <c r="B8" i="16" s="1"/>
  <c r="C33" i="2"/>
  <c r="D9" i="11" s="1"/>
  <c r="B9" i="16" s="1"/>
  <c r="C34" i="2"/>
  <c r="D10" i="11" s="1"/>
  <c r="B10" i="16" s="1"/>
  <c r="C35" i="2"/>
  <c r="D11" i="11" s="1"/>
  <c r="B11" i="16" s="1"/>
  <c r="C36" i="2"/>
  <c r="D12" i="11" s="1"/>
  <c r="B12" i="16" s="1"/>
  <c r="C37" i="2"/>
  <c r="D13" i="11" s="1"/>
  <c r="B13" i="16" s="1"/>
  <c r="C38" i="2"/>
  <c r="D14" i="11" s="1"/>
  <c r="B14" i="16" s="1"/>
  <c r="C39" i="2"/>
  <c r="D15" i="11" s="1"/>
  <c r="B15" i="16" s="1"/>
  <c r="C40" i="2"/>
  <c r="D16" i="11" s="1"/>
  <c r="B16" i="16" s="1"/>
  <c r="C41" i="2"/>
  <c r="D17" i="11" s="1"/>
  <c r="B17" i="16" s="1"/>
  <c r="C42" i="2"/>
  <c r="D18" i="11" s="1"/>
  <c r="B18" i="16" s="1"/>
  <c r="C43" i="2"/>
  <c r="D19" i="11" s="1"/>
  <c r="B19" i="16" s="1"/>
  <c r="C44" i="2"/>
  <c r="D20" i="11" s="1"/>
  <c r="B20" i="16" s="1"/>
  <c r="C45" i="2"/>
  <c r="D21" i="11" s="1"/>
  <c r="B21" i="16" s="1"/>
  <c r="C46" i="2"/>
  <c r="D22" i="11" s="1"/>
  <c r="B22" i="16" s="1"/>
  <c r="C47" i="2"/>
  <c r="D23" i="11" s="1"/>
  <c r="B23" i="16" s="1"/>
  <c r="C48" i="2"/>
  <c r="D24" i="11" s="1"/>
  <c r="B24" i="16" s="1"/>
  <c r="C49" i="2"/>
  <c r="D25" i="11" s="1"/>
  <c r="B25" i="16" s="1"/>
  <c r="C50" i="2"/>
  <c r="D26" i="11" s="1"/>
  <c r="B26" i="16" s="1"/>
  <c r="I51" i="2" l="1"/>
  <c r="E31" i="6" l="1"/>
  <c r="H31" i="6"/>
  <c r="I31" i="6"/>
  <c r="I13" i="1" l="1"/>
  <c r="L8" i="14" l="1"/>
  <c r="L7" i="14"/>
  <c r="A8" i="14"/>
  <c r="A7" i="14"/>
  <c r="B10" i="14"/>
  <c r="B13" i="14" s="1"/>
  <c r="B11" i="14"/>
  <c r="B14" i="14" s="1"/>
  <c r="U6" i="14"/>
  <c r="T6" i="14"/>
  <c r="S6" i="14"/>
  <c r="R6" i="14"/>
  <c r="N6" i="14"/>
  <c r="P6" i="14"/>
  <c r="O6" i="14"/>
  <c r="M10" i="14"/>
  <c r="M13" i="14" s="1"/>
  <c r="M11" i="14"/>
  <c r="M14" i="14" s="1"/>
  <c r="U5" i="14"/>
  <c r="I5" i="14"/>
  <c r="J5" i="14"/>
  <c r="J6" i="14"/>
  <c r="I6" i="14"/>
  <c r="H6" i="14"/>
  <c r="G6" i="14"/>
  <c r="E6" i="14"/>
  <c r="D6" i="14"/>
  <c r="C6" i="14"/>
  <c r="G5" i="14"/>
  <c r="E5" i="14"/>
  <c r="H5" i="14"/>
  <c r="D5" i="14"/>
  <c r="C5" i="14"/>
  <c r="T5" i="14"/>
  <c r="S5" i="14"/>
  <c r="N5" i="14"/>
  <c r="O5" i="14"/>
  <c r="P5" i="14"/>
  <c r="R5" i="14"/>
  <c r="A10" i="14" l="1"/>
  <c r="F7" i="14"/>
  <c r="F10" i="14" s="1"/>
  <c r="F13" i="14" s="1"/>
  <c r="A14" i="14"/>
  <c r="F8" i="14"/>
  <c r="F11" i="14" s="1"/>
  <c r="B18" i="14"/>
  <c r="B8" i="18" s="1"/>
  <c r="I8" i="14"/>
  <c r="I11" i="14" s="1"/>
  <c r="I14" i="14" s="1"/>
  <c r="I7" i="14"/>
  <c r="I10" i="14" s="1"/>
  <c r="I13" i="14" s="1"/>
  <c r="T8" i="14"/>
  <c r="T11" i="14" s="1"/>
  <c r="T14" i="14" s="1"/>
  <c r="T7" i="14"/>
  <c r="T10" i="14" s="1"/>
  <c r="T13" i="14" s="1"/>
  <c r="C8" i="14"/>
  <c r="C11" i="14" s="1"/>
  <c r="C14" i="14" s="1"/>
  <c r="C7" i="14"/>
  <c r="C10" i="14" s="1"/>
  <c r="C13" i="14" s="1"/>
  <c r="H8" i="14"/>
  <c r="H11" i="14" s="1"/>
  <c r="H14" i="14" s="1"/>
  <c r="H7" i="14"/>
  <c r="H10" i="14" s="1"/>
  <c r="H13" i="14" s="1"/>
  <c r="O7" i="14"/>
  <c r="O10" i="14" s="1"/>
  <c r="O13" i="14" s="1"/>
  <c r="O8" i="14"/>
  <c r="O11" i="14" s="1"/>
  <c r="O14" i="14" s="1"/>
  <c r="S7" i="14"/>
  <c r="S10" i="14" s="1"/>
  <c r="S13" i="14" s="1"/>
  <c r="S8" i="14"/>
  <c r="S11" i="14" s="1"/>
  <c r="S14" i="14" s="1"/>
  <c r="D8" i="14"/>
  <c r="D11" i="14" s="1"/>
  <c r="D14" i="14" s="1"/>
  <c r="D7" i="14"/>
  <c r="D10" i="14" s="1"/>
  <c r="D13" i="14" s="1"/>
  <c r="E7" i="14"/>
  <c r="E10" i="14" s="1"/>
  <c r="E13" i="14" s="1"/>
  <c r="E8" i="14"/>
  <c r="E11" i="14" s="1"/>
  <c r="E14" i="14" s="1"/>
  <c r="J7" i="14"/>
  <c r="J10" i="14" s="1"/>
  <c r="J13" i="14" s="1"/>
  <c r="J8" i="14"/>
  <c r="J11" i="14" s="1"/>
  <c r="J14" i="14" s="1"/>
  <c r="N8" i="14"/>
  <c r="N11" i="14" s="1"/>
  <c r="N14" i="14" s="1"/>
  <c r="N7" i="14"/>
  <c r="N10" i="14" s="1"/>
  <c r="N13" i="14" s="1"/>
  <c r="U8" i="14"/>
  <c r="U11" i="14" s="1"/>
  <c r="U14" i="14" s="1"/>
  <c r="U7" i="14"/>
  <c r="U10" i="14" s="1"/>
  <c r="U13" i="14" s="1"/>
  <c r="P8" i="14"/>
  <c r="P11" i="14" s="1"/>
  <c r="P14" i="14" s="1"/>
  <c r="P7" i="14"/>
  <c r="P10" i="14" s="1"/>
  <c r="P13" i="14" s="1"/>
  <c r="G8" i="14"/>
  <c r="G11" i="14" s="1"/>
  <c r="G14" i="14" s="1"/>
  <c r="G7" i="14"/>
  <c r="G10" i="14" s="1"/>
  <c r="G13" i="14" s="1"/>
  <c r="R7" i="14"/>
  <c r="R10" i="14" s="1"/>
  <c r="R13" i="14" s="1"/>
  <c r="R8" i="14"/>
  <c r="R11" i="14" s="1"/>
  <c r="R14" i="14" s="1"/>
  <c r="A11" i="14"/>
  <c r="A13" i="14"/>
  <c r="F14" i="14" l="1"/>
  <c r="F19" i="14" s="1"/>
  <c r="F9" i="18" s="1"/>
  <c r="F18" i="14"/>
  <c r="F8" i="18" s="1"/>
  <c r="T19" i="14"/>
  <c r="T9" i="18" s="1"/>
  <c r="T18" i="14"/>
  <c r="T8" i="18" s="1"/>
  <c r="I19" i="14"/>
  <c r="I9" i="18" s="1"/>
  <c r="I18" i="14"/>
  <c r="I8" i="18" s="1"/>
  <c r="H15" i="14"/>
  <c r="F15" i="14" l="1"/>
  <c r="F20" i="14"/>
  <c r="I20" i="14"/>
  <c r="I10" i="18" s="1"/>
  <c r="G15" i="14"/>
  <c r="J15" i="14"/>
  <c r="T20" i="14"/>
  <c r="T10" i="18" s="1"/>
  <c r="T15" i="14"/>
  <c r="C15" i="14"/>
  <c r="I15" i="14"/>
  <c r="E15" i="14"/>
  <c r="E44" i="11" l="1"/>
  <c r="F10" i="18"/>
  <c r="J19" i="14"/>
  <c r="J9" i="18" s="1"/>
  <c r="H18" i="14"/>
  <c r="H8" i="18" s="1"/>
  <c r="U19" i="14"/>
  <c r="U9" i="18" s="1"/>
  <c r="R19" i="14"/>
  <c r="R9" i="18" s="1"/>
  <c r="S19" i="14"/>
  <c r="S9" i="18" s="1"/>
  <c r="N19" i="14"/>
  <c r="N9" i="18" s="1"/>
  <c r="P19" i="14"/>
  <c r="P9" i="18" s="1"/>
  <c r="O19" i="14"/>
  <c r="O9" i="18" s="1"/>
  <c r="M19" i="14"/>
  <c r="M9" i="18" s="1"/>
  <c r="G19" i="14"/>
  <c r="G9" i="18" s="1"/>
  <c r="H19" i="14"/>
  <c r="H9" i="18" s="1"/>
  <c r="C19" i="14"/>
  <c r="C9" i="18" s="1"/>
  <c r="E19" i="14"/>
  <c r="E9" i="18" s="1"/>
  <c r="D19" i="14"/>
  <c r="D9" i="18" s="1"/>
  <c r="B19" i="14"/>
  <c r="B9" i="18" s="1"/>
  <c r="R18" i="14"/>
  <c r="R8" i="18" s="1"/>
  <c r="S18" i="14"/>
  <c r="S8" i="18" s="1"/>
  <c r="O18" i="14"/>
  <c r="O8" i="18" s="1"/>
  <c r="M18" i="14"/>
  <c r="M8" i="18" s="1"/>
  <c r="C18" i="14"/>
  <c r="C8" i="18" s="1"/>
  <c r="B10" i="13"/>
  <c r="A10" i="13"/>
  <c r="N15" i="14" l="1"/>
  <c r="D15" i="14"/>
  <c r="P15" i="14"/>
  <c r="U15" i="14"/>
  <c r="U20" i="14" s="1"/>
  <c r="U10" i="18" s="1"/>
  <c r="P18" i="14"/>
  <c r="S20" i="14"/>
  <c r="S10" i="18" s="1"/>
  <c r="M20" i="14"/>
  <c r="M10" i="18" s="1"/>
  <c r="O15" i="14"/>
  <c r="R15" i="14"/>
  <c r="U18" i="14"/>
  <c r="U8" i="18" s="1"/>
  <c r="C20" i="14"/>
  <c r="C10" i="18" s="1"/>
  <c r="G18" i="14"/>
  <c r="B15" i="14"/>
  <c r="B20" i="14"/>
  <c r="B10" i="18" s="1"/>
  <c r="D18" i="14"/>
  <c r="R20" i="14"/>
  <c r="R10" i="18" s="1"/>
  <c r="O20" i="14"/>
  <c r="O10" i="18" s="1"/>
  <c r="H20" i="14"/>
  <c r="H10" i="18" s="1"/>
  <c r="M15" i="14"/>
  <c r="E18" i="14"/>
  <c r="J18" i="14"/>
  <c r="N18" i="14"/>
  <c r="S15" i="14"/>
  <c r="B81" i="11"/>
  <c r="A81" i="11"/>
  <c r="E20" i="14" l="1"/>
  <c r="E10" i="18" s="1"/>
  <c r="E8" i="18"/>
  <c r="G20" i="14"/>
  <c r="G10" i="18" s="1"/>
  <c r="G8" i="18"/>
  <c r="D20" i="14"/>
  <c r="D10" i="18" s="1"/>
  <c r="D8" i="18"/>
  <c r="N20" i="14"/>
  <c r="N10" i="18" s="1"/>
  <c r="N8" i="18"/>
  <c r="J20" i="14"/>
  <c r="J10" i="18" s="1"/>
  <c r="J8" i="18"/>
  <c r="P20" i="14"/>
  <c r="P10" i="18" s="1"/>
  <c r="P8" i="18"/>
  <c r="G42" i="11"/>
  <c r="K42" i="11"/>
  <c r="O42" i="11"/>
  <c r="S42" i="11"/>
  <c r="W42" i="11"/>
  <c r="AA42" i="11"/>
  <c r="AE42" i="11"/>
  <c r="X42" i="11"/>
  <c r="F42" i="11"/>
  <c r="R42" i="11"/>
  <c r="Z42" i="11"/>
  <c r="H42" i="11"/>
  <c r="L42" i="11"/>
  <c r="P42" i="11"/>
  <c r="T42" i="11"/>
  <c r="AB42" i="11"/>
  <c r="AF42" i="11"/>
  <c r="N42" i="11"/>
  <c r="AD42" i="11"/>
  <c r="H21" i="16"/>
  <c r="D40" i="11"/>
  <c r="D52" i="11" s="1"/>
  <c r="I42" i="11"/>
  <c r="M42" i="11"/>
  <c r="Q42" i="11"/>
  <c r="U42" i="11"/>
  <c r="Y42" i="11"/>
  <c r="AC42" i="11"/>
  <c r="AG42" i="11"/>
  <c r="J42" i="11"/>
  <c r="V42" i="11"/>
  <c r="AH42" i="11"/>
  <c r="E42" i="11"/>
  <c r="G48" i="11"/>
  <c r="K48" i="11"/>
  <c r="O48" i="11"/>
  <c r="S48" i="11"/>
  <c r="W48" i="11"/>
  <c r="AA48" i="11"/>
  <c r="AE48" i="11"/>
  <c r="E48" i="11"/>
  <c r="H48" i="11"/>
  <c r="L48" i="11"/>
  <c r="P48" i="11"/>
  <c r="T48" i="11"/>
  <c r="X48" i="11"/>
  <c r="AB48" i="11"/>
  <c r="AF48" i="11"/>
  <c r="I48" i="11"/>
  <c r="Q48" i="11"/>
  <c r="U48" i="11"/>
  <c r="Y48" i="11"/>
  <c r="AG48" i="11"/>
  <c r="F48" i="11"/>
  <c r="N48" i="11"/>
  <c r="V48" i="11"/>
  <c r="AD48" i="11"/>
  <c r="M48" i="11"/>
  <c r="AC48" i="11"/>
  <c r="J48" i="11"/>
  <c r="R48" i="11"/>
  <c r="Z48" i="11"/>
  <c r="AH48" i="11"/>
  <c r="T16" i="14"/>
  <c r="Q16" i="14"/>
  <c r="T21" i="14"/>
  <c r="T11" i="18" s="1"/>
  <c r="Q21" i="14"/>
  <c r="Q11" i="18" s="1"/>
  <c r="I21" i="14"/>
  <c r="I11" i="18" s="1"/>
  <c r="F21" i="14"/>
  <c r="F11" i="18" s="1"/>
  <c r="I16" i="14"/>
  <c r="F16" i="14"/>
  <c r="S21" i="14"/>
  <c r="S11" i="18" s="1"/>
  <c r="M21" i="14"/>
  <c r="M11" i="18" s="1"/>
  <c r="E16" i="14"/>
  <c r="D16" i="14"/>
  <c r="G16" i="14"/>
  <c r="R21" i="14"/>
  <c r="R11" i="18" s="1"/>
  <c r="C16" i="14"/>
  <c r="J16" i="14"/>
  <c r="H16" i="14"/>
  <c r="O21" i="14"/>
  <c r="O11" i="18" s="1"/>
  <c r="U16" i="14"/>
  <c r="P16" i="14"/>
  <c r="S16" i="14"/>
  <c r="R16" i="14"/>
  <c r="O16" i="14"/>
  <c r="M16" i="14"/>
  <c r="N16" i="14"/>
  <c r="U21" i="14"/>
  <c r="U11" i="18" s="1"/>
  <c r="J21" i="14"/>
  <c r="J11" i="18" s="1"/>
  <c r="E21" i="14"/>
  <c r="E11" i="18" s="1"/>
  <c r="C21" i="14"/>
  <c r="C11" i="18" s="1"/>
  <c r="D21" i="14"/>
  <c r="D11" i="18" s="1"/>
  <c r="H21" i="14"/>
  <c r="H11" i="18" s="1"/>
  <c r="P21" i="14" l="1"/>
  <c r="P11" i="18" s="1"/>
  <c r="G21" i="14"/>
  <c r="G11" i="18" s="1"/>
  <c r="N21" i="14"/>
  <c r="N11" i="18" s="1"/>
  <c r="C31" i="2"/>
  <c r="D7" i="11" s="1"/>
  <c r="B7" i="16" s="1"/>
  <c r="C30" i="2"/>
  <c r="D6" i="11" s="1"/>
  <c r="B5" i="16" s="1"/>
  <c r="C51" i="2" l="1"/>
  <c r="J51" i="2" s="1"/>
  <c r="D5" i="2" l="1"/>
  <c r="C5" i="13" l="1"/>
  <c r="I22" i="16"/>
  <c r="T14" i="1"/>
  <c r="C81" i="11"/>
  <c r="A41" i="13" l="1"/>
  <c r="A40" i="13"/>
  <c r="A39" i="13"/>
  <c r="A38" i="13"/>
  <c r="A37" i="13"/>
  <c r="A36" i="13"/>
  <c r="A35" i="13"/>
  <c r="A34" i="13"/>
  <c r="A33" i="13"/>
  <c r="A32" i="13"/>
  <c r="A31" i="13"/>
  <c r="A30" i="13"/>
  <c r="A29" i="13"/>
  <c r="A28" i="13"/>
  <c r="A27" i="13"/>
  <c r="A26" i="13"/>
  <c r="A25" i="13"/>
  <c r="A24" i="13"/>
  <c r="A23" i="13"/>
  <c r="A22" i="13"/>
  <c r="A21" i="13"/>
  <c r="E38" i="11"/>
  <c r="F38" i="11" s="1"/>
  <c r="F44" i="11" s="1"/>
  <c r="M58" i="2"/>
  <c r="L58" i="2"/>
  <c r="G38" i="11" l="1"/>
  <c r="G44" i="11" s="1"/>
  <c r="H38" i="11" l="1"/>
  <c r="H44" i="11" s="1"/>
  <c r="D56" i="11"/>
  <c r="E5" i="12" l="1"/>
  <c r="F5" i="12"/>
  <c r="G5" i="12"/>
  <c r="H3" i="12"/>
  <c r="H2" i="12"/>
  <c r="H1" i="12"/>
  <c r="P2" i="6"/>
  <c r="P3" i="6"/>
  <c r="P1" i="6"/>
  <c r="A17" i="2"/>
  <c r="A18" i="2"/>
  <c r="A19" i="2"/>
  <c r="A20" i="2"/>
  <c r="A21" i="2"/>
  <c r="A22" i="2"/>
  <c r="A23" i="2"/>
  <c r="A24" i="2"/>
  <c r="A25" i="2"/>
  <c r="A26" i="2"/>
  <c r="A30" i="6" s="1"/>
  <c r="A7" i="2"/>
  <c r="A8" i="2"/>
  <c r="A9" i="2"/>
  <c r="A10" i="2"/>
  <c r="A11" i="2"/>
  <c r="A12" i="2"/>
  <c r="A13" i="2"/>
  <c r="A14" i="2"/>
  <c r="A15" i="2"/>
  <c r="A16" i="2"/>
  <c r="I34" i="6" l="1"/>
  <c r="G5" i="11" s="1"/>
  <c r="H51" i="2"/>
  <c r="Q34" i="6"/>
  <c r="I5" i="11" s="1"/>
  <c r="M34" i="6"/>
  <c r="H5" i="11" s="1"/>
  <c r="S11" i="6"/>
  <c r="S12" i="6"/>
  <c r="S13" i="6"/>
  <c r="S14" i="6"/>
  <c r="S15" i="6"/>
  <c r="S16" i="6"/>
  <c r="S17" i="6"/>
  <c r="S18" i="6"/>
  <c r="S19" i="6"/>
  <c r="S20" i="6"/>
  <c r="S21" i="6"/>
  <c r="S22" i="6"/>
  <c r="S23" i="6"/>
  <c r="S24" i="6"/>
  <c r="S25" i="6"/>
  <c r="S26" i="6"/>
  <c r="S27" i="6"/>
  <c r="A32" i="2"/>
  <c r="A8" i="11" s="1"/>
  <c r="A8" i="16" s="1"/>
  <c r="A33" i="2"/>
  <c r="A9" i="11" s="1"/>
  <c r="A9" i="16" s="1"/>
  <c r="A34" i="2"/>
  <c r="A10" i="11" s="1"/>
  <c r="A10" i="16" s="1"/>
  <c r="A35" i="2"/>
  <c r="A11" i="11" s="1"/>
  <c r="A11" i="16" s="1"/>
  <c r="A36" i="2"/>
  <c r="A12" i="11" s="1"/>
  <c r="A12" i="16" s="1"/>
  <c r="A37" i="2"/>
  <c r="A13" i="11" s="1"/>
  <c r="A13" i="16" s="1"/>
  <c r="A38" i="2"/>
  <c r="A14" i="11" s="1"/>
  <c r="A14" i="16" s="1"/>
  <c r="A39" i="2"/>
  <c r="A15" i="11" s="1"/>
  <c r="A15" i="16" s="1"/>
  <c r="A40" i="2"/>
  <c r="A16" i="11" s="1"/>
  <c r="A16" i="16" s="1"/>
  <c r="A41" i="2"/>
  <c r="A17" i="11" s="1"/>
  <c r="A17" i="16" s="1"/>
  <c r="A42" i="2"/>
  <c r="A18" i="11" s="1"/>
  <c r="A18" i="16" s="1"/>
  <c r="A43" i="2"/>
  <c r="A19" i="11" s="1"/>
  <c r="A19" i="16" s="1"/>
  <c r="A44" i="2"/>
  <c r="A20" i="11" s="1"/>
  <c r="A20" i="16" s="1"/>
  <c r="A45" i="2"/>
  <c r="A21" i="11" s="1"/>
  <c r="A21" i="16" s="1"/>
  <c r="A46" i="2"/>
  <c r="A22" i="11" s="1"/>
  <c r="A22" i="16" s="1"/>
  <c r="A47" i="2"/>
  <c r="A23" i="11" s="1"/>
  <c r="A23" i="16" s="1"/>
  <c r="A48" i="2"/>
  <c r="A24" i="11" s="1"/>
  <c r="A24" i="16" s="1"/>
  <c r="A49" i="2"/>
  <c r="A25" i="11" s="1"/>
  <c r="A25" i="16" s="1"/>
  <c r="A50" i="2"/>
  <c r="A26" i="11" s="1"/>
  <c r="A26" i="16" s="1"/>
  <c r="A31" i="2"/>
  <c r="A7" i="11" s="1"/>
  <c r="A7" i="16" s="1"/>
  <c r="E9" i="12"/>
  <c r="B8" i="2"/>
  <c r="C8" i="2" s="1"/>
  <c r="D8" i="2" s="1"/>
  <c r="B12" i="12" s="1"/>
  <c r="B9" i="2"/>
  <c r="C9" i="2" s="1"/>
  <c r="D9" i="2" s="1"/>
  <c r="B13" i="12" s="1"/>
  <c r="B10" i="2"/>
  <c r="C10" i="2" s="1"/>
  <c r="D10" i="2" s="1"/>
  <c r="B14" i="12" s="1"/>
  <c r="B11" i="2"/>
  <c r="C11" i="2" s="1"/>
  <c r="D11" i="2" s="1"/>
  <c r="B15" i="12" s="1"/>
  <c r="B12" i="2"/>
  <c r="C12" i="2" s="1"/>
  <c r="D12" i="2" s="1"/>
  <c r="B16" i="12" s="1"/>
  <c r="B13" i="2"/>
  <c r="C13" i="2" s="1"/>
  <c r="D13" i="2" s="1"/>
  <c r="B17" i="12" s="1"/>
  <c r="B14" i="2"/>
  <c r="C14" i="2" s="1"/>
  <c r="D14" i="2" s="1"/>
  <c r="B18" i="12" s="1"/>
  <c r="B15" i="2"/>
  <c r="C15" i="2" s="1"/>
  <c r="D15" i="2" s="1"/>
  <c r="B19" i="12" s="1"/>
  <c r="B16" i="2"/>
  <c r="C16" i="2" s="1"/>
  <c r="D16" i="2" s="1"/>
  <c r="B20" i="12" s="1"/>
  <c r="B17" i="2"/>
  <c r="B18" i="2"/>
  <c r="B19" i="2"/>
  <c r="B20" i="2"/>
  <c r="B21" i="2"/>
  <c r="B22" i="2"/>
  <c r="B23" i="2"/>
  <c r="B24" i="2"/>
  <c r="B25" i="2"/>
  <c r="B26" i="2"/>
  <c r="B7" i="2"/>
  <c r="C7" i="2" s="1"/>
  <c r="D7" i="2" s="1"/>
  <c r="B11" i="12" s="1"/>
  <c r="A5" i="2"/>
  <c r="C24" i="2" l="1"/>
  <c r="C20" i="2"/>
  <c r="C19" i="2"/>
  <c r="C26" i="2"/>
  <c r="C22" i="2"/>
  <c r="C18" i="2"/>
  <c r="C23" i="2"/>
  <c r="C25" i="2"/>
  <c r="C21" i="2"/>
  <c r="C17" i="2"/>
  <c r="A11" i="6"/>
  <c r="A26" i="6"/>
  <c r="A22" i="6"/>
  <c r="A18" i="6"/>
  <c r="A14" i="6"/>
  <c r="A25" i="6"/>
  <c r="A17" i="6"/>
  <c r="A13" i="6"/>
  <c r="A29" i="6"/>
  <c r="A21" i="6"/>
  <c r="A28" i="6"/>
  <c r="A24" i="6"/>
  <c r="A20" i="6"/>
  <c r="A16" i="6"/>
  <c r="A12" i="6"/>
  <c r="A27" i="6"/>
  <c r="A23" i="6"/>
  <c r="A19" i="6"/>
  <c r="A15" i="6"/>
  <c r="A37" i="6"/>
  <c r="A38" i="6"/>
  <c r="A39" i="6"/>
  <c r="A40" i="6"/>
  <c r="A41" i="6"/>
  <c r="A42" i="6"/>
  <c r="A43" i="6"/>
  <c r="A44" i="6"/>
  <c r="A45" i="6"/>
  <c r="A46" i="6"/>
  <c r="A47" i="6"/>
  <c r="A48" i="6"/>
  <c r="A49" i="6"/>
  <c r="A50" i="6"/>
  <c r="A51" i="6"/>
  <c r="A52" i="6"/>
  <c r="A53" i="6"/>
  <c r="A54" i="6"/>
  <c r="A55" i="6"/>
  <c r="A36" i="6"/>
  <c r="A34" i="6"/>
  <c r="B38" i="6"/>
  <c r="C38" i="6" s="1"/>
  <c r="B39" i="6"/>
  <c r="C39" i="6" s="1"/>
  <c r="B42" i="6"/>
  <c r="C42" i="6" s="1"/>
  <c r="B46" i="6"/>
  <c r="C46" i="6" s="1"/>
  <c r="B48" i="6"/>
  <c r="C48" i="6" s="1"/>
  <c r="B50" i="6"/>
  <c r="C50" i="6" s="1"/>
  <c r="B51" i="6"/>
  <c r="C51" i="6" s="1"/>
  <c r="B52" i="6"/>
  <c r="C52" i="6" s="1"/>
  <c r="B53" i="6"/>
  <c r="C53" i="6" s="1"/>
  <c r="B54" i="6"/>
  <c r="C54" i="6" s="1"/>
  <c r="A29" i="2"/>
  <c r="D25" i="2" l="1"/>
  <c r="B29" i="12" s="1"/>
  <c r="D26" i="2"/>
  <c r="B30" i="12" s="1"/>
  <c r="D22" i="2"/>
  <c r="B26" i="12" s="1"/>
  <c r="D23" i="2"/>
  <c r="B27" i="12" s="1"/>
  <c r="D19" i="2"/>
  <c r="B23" i="12" s="1"/>
  <c r="D21" i="2"/>
  <c r="B25" i="12" s="1"/>
  <c r="D17" i="2"/>
  <c r="B21" i="12" s="1"/>
  <c r="D18" i="2"/>
  <c r="B22" i="12" s="1"/>
  <c r="D20" i="2"/>
  <c r="B24" i="12" s="1"/>
  <c r="D24" i="2"/>
  <c r="B28" i="12" s="1"/>
  <c r="E52" i="6"/>
  <c r="D52" i="6"/>
  <c r="E48" i="6"/>
  <c r="D48" i="6"/>
  <c r="E51" i="6"/>
  <c r="D51" i="6"/>
  <c r="E39" i="6"/>
  <c r="D39" i="6"/>
  <c r="E54" i="6"/>
  <c r="D54" i="6"/>
  <c r="E50" i="6"/>
  <c r="D50" i="6"/>
  <c r="E46" i="6"/>
  <c r="D46" i="6"/>
  <c r="E42" i="6"/>
  <c r="D42" i="6"/>
  <c r="E38" i="6"/>
  <c r="D38" i="6"/>
  <c r="E53" i="6"/>
  <c r="D53" i="6"/>
  <c r="C9" i="12"/>
  <c r="C10" i="12"/>
  <c r="E10" i="12"/>
  <c r="D5" i="12" l="1"/>
  <c r="F6" i="6"/>
  <c r="C5" i="12"/>
  <c r="B31" i="11" l="1"/>
  <c r="C31" i="11" s="1"/>
  <c r="D6" i="12"/>
  <c r="A10" i="12"/>
  <c r="A23" i="12" l="1"/>
  <c r="A22" i="12" l="1"/>
  <c r="A21" i="12"/>
  <c r="A16" i="12"/>
  <c r="A20" i="12"/>
  <c r="A9" i="12" l="1"/>
  <c r="I29" i="1" l="1"/>
  <c r="D2" i="12" l="1"/>
  <c r="E2" i="12"/>
  <c r="F2" i="12"/>
  <c r="G2" i="12"/>
  <c r="L8" i="12"/>
  <c r="K9" i="12"/>
  <c r="G9" i="12"/>
  <c r="H9" i="12"/>
  <c r="I9" i="12"/>
  <c r="J9" i="12"/>
  <c r="F9" i="12"/>
  <c r="O9" i="6" l="1"/>
  <c r="I14" i="1" l="1"/>
  <c r="I15" i="1"/>
  <c r="I16" i="1"/>
  <c r="I17" i="1"/>
  <c r="I30" i="1"/>
  <c r="I31" i="1"/>
  <c r="I32" i="1"/>
  <c r="I19" i="1"/>
  <c r="I20" i="1"/>
  <c r="I21" i="1"/>
  <c r="I22" i="1"/>
  <c r="I23" i="1"/>
  <c r="I24" i="1"/>
  <c r="I25" i="1"/>
  <c r="I26" i="1"/>
  <c r="I27" i="1"/>
  <c r="I28" i="1"/>
  <c r="A9" i="6"/>
  <c r="A19" i="12" l="1"/>
  <c r="A18" i="12"/>
  <c r="A30" i="12"/>
  <c r="A17" i="12"/>
  <c r="A29" i="12"/>
  <c r="A24" i="12"/>
  <c r="A12" i="12"/>
  <c r="A13" i="12"/>
  <c r="A25" i="12"/>
  <c r="A11" i="12"/>
  <c r="A26" i="12"/>
  <c r="A27" i="12"/>
  <c r="A15" i="12"/>
  <c r="A14" i="12"/>
  <c r="I6" i="6"/>
  <c r="G6" i="12" s="1"/>
  <c r="H6" i="6"/>
  <c r="F6" i="12" s="1"/>
  <c r="G6" i="6"/>
  <c r="E6" i="12" s="1"/>
  <c r="E6" i="6"/>
  <c r="C6" i="12" s="1"/>
  <c r="A28" i="12" l="1"/>
  <c r="Q9" i="6"/>
  <c r="P9" i="6"/>
  <c r="D53" i="11"/>
  <c r="Q57" i="6" l="1"/>
  <c r="Q58" i="6"/>
  <c r="A56" i="11"/>
  <c r="D62" i="11" l="1"/>
  <c r="N9" i="6" l="1"/>
  <c r="G3" i="2" l="1"/>
  <c r="G3" i="12" s="1"/>
  <c r="F3" i="2"/>
  <c r="F3" i="12" s="1"/>
  <c r="O3" i="6"/>
  <c r="D3" i="2"/>
  <c r="N3" i="6"/>
  <c r="M3" i="6"/>
  <c r="E3" i="2"/>
  <c r="L3" i="6"/>
  <c r="E25" i="2" l="1"/>
  <c r="E26" i="2"/>
  <c r="E24" i="2"/>
  <c r="E22" i="2"/>
  <c r="C26" i="12" s="1"/>
  <c r="E19" i="2"/>
  <c r="C23" i="12" s="1"/>
  <c r="E17" i="2"/>
  <c r="C21" i="12" s="1"/>
  <c r="E20" i="2"/>
  <c r="C24" i="12" s="1"/>
  <c r="E23" i="2"/>
  <c r="C27" i="12" s="1"/>
  <c r="E21" i="2"/>
  <c r="C25" i="12" s="1"/>
  <c r="E18" i="2"/>
  <c r="C22" i="12" s="1"/>
  <c r="E15" i="2"/>
  <c r="F15" i="2" s="1"/>
  <c r="E10" i="2"/>
  <c r="E13" i="2"/>
  <c r="E14" i="2"/>
  <c r="F14" i="2" s="1"/>
  <c r="E7" i="2"/>
  <c r="F7" i="2" s="1"/>
  <c r="E11" i="6" s="1"/>
  <c r="E16" i="2"/>
  <c r="E11" i="2"/>
  <c r="E9" i="2"/>
  <c r="E8" i="2"/>
  <c r="E12" i="2"/>
  <c r="F19" i="2"/>
  <c r="E33" i="2"/>
  <c r="C9" i="11" s="1"/>
  <c r="E37" i="2"/>
  <c r="C13" i="11" s="1"/>
  <c r="E41" i="2"/>
  <c r="C17" i="11" s="1"/>
  <c r="E45" i="2"/>
  <c r="C21" i="11" s="1"/>
  <c r="E49" i="2"/>
  <c r="C25" i="11" s="1"/>
  <c r="E34" i="2"/>
  <c r="C10" i="11" s="1"/>
  <c r="E38" i="2"/>
  <c r="C14" i="11" s="1"/>
  <c r="E42" i="2"/>
  <c r="C18" i="11" s="1"/>
  <c r="E46" i="2"/>
  <c r="C22" i="11" s="1"/>
  <c r="E50" i="2"/>
  <c r="C26" i="11" s="1"/>
  <c r="E31" i="2"/>
  <c r="C7" i="11" s="1"/>
  <c r="E35" i="2"/>
  <c r="C11" i="11" s="1"/>
  <c r="E39" i="2"/>
  <c r="C15" i="11" s="1"/>
  <c r="E43" i="2"/>
  <c r="C19" i="11" s="1"/>
  <c r="E47" i="2"/>
  <c r="C23" i="11" s="1"/>
  <c r="E32" i="2"/>
  <c r="C8" i="11" s="1"/>
  <c r="E36" i="2"/>
  <c r="C12" i="11" s="1"/>
  <c r="E40" i="2"/>
  <c r="C16" i="11" s="1"/>
  <c r="E44" i="2"/>
  <c r="C20" i="11" s="1"/>
  <c r="E48" i="2"/>
  <c r="C24" i="11" s="1"/>
  <c r="E3" i="12"/>
  <c r="D3" i="12"/>
  <c r="J47" i="2" l="1"/>
  <c r="H47" i="2"/>
  <c r="G47" i="2"/>
  <c r="F47" i="2"/>
  <c r="G38" i="2"/>
  <c r="F38" i="2"/>
  <c r="H38" i="2"/>
  <c r="H43" i="2"/>
  <c r="J43" i="2"/>
  <c r="G43" i="2"/>
  <c r="F43" i="2"/>
  <c r="G34" i="2"/>
  <c r="F34" i="2"/>
  <c r="J34" i="2"/>
  <c r="H34" i="2"/>
  <c r="J37" i="2"/>
  <c r="H37" i="2"/>
  <c r="G37" i="2"/>
  <c r="F37" i="2"/>
  <c r="H39" i="2"/>
  <c r="G39" i="2"/>
  <c r="F39" i="2"/>
  <c r="J46" i="2"/>
  <c r="H46" i="2"/>
  <c r="F46" i="2"/>
  <c r="G46" i="2"/>
  <c r="J49" i="2"/>
  <c r="H49" i="2"/>
  <c r="G49" i="2"/>
  <c r="F49" i="2"/>
  <c r="J33" i="2"/>
  <c r="H33" i="2"/>
  <c r="G33" i="2"/>
  <c r="F33" i="2"/>
  <c r="F44" i="2"/>
  <c r="G44" i="2"/>
  <c r="J44" i="2"/>
  <c r="H44" i="2"/>
  <c r="H31" i="2"/>
  <c r="G31" i="2"/>
  <c r="F31" i="2"/>
  <c r="H41" i="2"/>
  <c r="G41" i="2"/>
  <c r="F41" i="2"/>
  <c r="J41" i="2"/>
  <c r="H40" i="2"/>
  <c r="G40" i="2"/>
  <c r="F40" i="2"/>
  <c r="H50" i="2"/>
  <c r="G50" i="2"/>
  <c r="F50" i="2"/>
  <c r="H36" i="2"/>
  <c r="G36" i="2"/>
  <c r="F36" i="2"/>
  <c r="J48" i="2"/>
  <c r="G48" i="2"/>
  <c r="F48" i="2"/>
  <c r="H48" i="2"/>
  <c r="G32" i="2"/>
  <c r="H32" i="2"/>
  <c r="F32" i="2"/>
  <c r="H35" i="2"/>
  <c r="G35" i="2"/>
  <c r="F35" i="2"/>
  <c r="H42" i="2"/>
  <c r="G42" i="2"/>
  <c r="F42" i="2"/>
  <c r="J45" i="2"/>
  <c r="H45" i="2"/>
  <c r="G45" i="2"/>
  <c r="F45" i="2"/>
  <c r="I41" i="2"/>
  <c r="J17" i="11" s="1"/>
  <c r="I46" i="2"/>
  <c r="I45" i="2"/>
  <c r="I47" i="2"/>
  <c r="I43" i="2"/>
  <c r="I34" i="2"/>
  <c r="J10" i="11" s="1"/>
  <c r="I49" i="2"/>
  <c r="I33" i="2"/>
  <c r="J9" i="11" s="1"/>
  <c r="G7" i="2"/>
  <c r="D19" i="12"/>
  <c r="D18" i="12"/>
  <c r="D23" i="12"/>
  <c r="F18" i="2"/>
  <c r="C19" i="12"/>
  <c r="C18" i="12"/>
  <c r="F23" i="2"/>
  <c r="F21" i="2"/>
  <c r="F17" i="2"/>
  <c r="F22" i="2"/>
  <c r="F20" i="2"/>
  <c r="C28" i="12"/>
  <c r="F24" i="2"/>
  <c r="E28" i="6" s="1"/>
  <c r="C30" i="12"/>
  <c r="F26" i="2"/>
  <c r="E30" i="6" s="1"/>
  <c r="C29" i="12"/>
  <c r="F25" i="2"/>
  <c r="E29" i="6" s="1"/>
  <c r="F9" i="2"/>
  <c r="E13" i="6" s="1"/>
  <c r="C13" i="12"/>
  <c r="F13" i="2"/>
  <c r="C17" i="12"/>
  <c r="F12" i="2"/>
  <c r="E16" i="6" s="1"/>
  <c r="C16" i="12"/>
  <c r="F16" i="2"/>
  <c r="C20" i="12"/>
  <c r="F10" i="2"/>
  <c r="E14" i="6" s="1"/>
  <c r="C14" i="12"/>
  <c r="F8" i="2"/>
  <c r="E12" i="6" s="1"/>
  <c r="C12" i="12"/>
  <c r="F11" i="2"/>
  <c r="E15" i="6" s="1"/>
  <c r="C15" i="12"/>
  <c r="B35" i="2"/>
  <c r="B11" i="11" s="1"/>
  <c r="B45" i="2"/>
  <c r="B21" i="11" s="1"/>
  <c r="B44" i="2"/>
  <c r="B20" i="11" s="1"/>
  <c r="B38" i="2"/>
  <c r="B14" i="11" s="1"/>
  <c r="B50" i="2"/>
  <c r="B26" i="11" s="1"/>
  <c r="B37" i="2"/>
  <c r="B13" i="11" s="1"/>
  <c r="B36" i="2"/>
  <c r="B12" i="11" s="1"/>
  <c r="B39" i="2"/>
  <c r="B15" i="11" s="1"/>
  <c r="B46" i="2"/>
  <c r="B22" i="11" s="1"/>
  <c r="B43" i="2"/>
  <c r="B19" i="11" s="1"/>
  <c r="B31" i="2"/>
  <c r="B7" i="11" s="1"/>
  <c r="B48" i="2"/>
  <c r="B24" i="11" s="1"/>
  <c r="B47" i="2"/>
  <c r="B23" i="11" s="1"/>
  <c r="B49" i="2"/>
  <c r="B25" i="11" s="1"/>
  <c r="B41" i="2"/>
  <c r="B17" i="11" s="1"/>
  <c r="B40" i="2"/>
  <c r="B16" i="11" s="1"/>
  <c r="B42" i="2"/>
  <c r="B18" i="11" s="1"/>
  <c r="B33" i="2"/>
  <c r="B9" i="11" s="1"/>
  <c r="B32" i="2"/>
  <c r="B8" i="11" s="1"/>
  <c r="B34" i="2"/>
  <c r="B10" i="11" s="1"/>
  <c r="B11" i="6"/>
  <c r="D11" i="6"/>
  <c r="C11" i="6"/>
  <c r="F11" i="6"/>
  <c r="D9" i="16" l="1"/>
  <c r="F9" i="11"/>
  <c r="J23" i="11"/>
  <c r="D23" i="16" s="1"/>
  <c r="F23" i="11"/>
  <c r="D17" i="16"/>
  <c r="F17" i="11"/>
  <c r="J25" i="11"/>
  <c r="D25" i="16" s="1"/>
  <c r="F25" i="11"/>
  <c r="J21" i="11"/>
  <c r="D21" i="16" s="1"/>
  <c r="F21" i="11"/>
  <c r="J19" i="11"/>
  <c r="D19" i="16" s="1"/>
  <c r="F19" i="11"/>
  <c r="D10" i="16"/>
  <c r="F10" i="11"/>
  <c r="J22" i="11"/>
  <c r="D22" i="16" s="1"/>
  <c r="F22" i="11"/>
  <c r="J35" i="2"/>
  <c r="J42" i="2"/>
  <c r="J36" i="2"/>
  <c r="J40" i="2"/>
  <c r="J39" i="2"/>
  <c r="J50" i="2"/>
  <c r="J31" i="2"/>
  <c r="J38" i="2"/>
  <c r="J32" i="2"/>
  <c r="I48" i="2"/>
  <c r="I37" i="2"/>
  <c r="J13" i="11" s="1"/>
  <c r="I30" i="6"/>
  <c r="M30" i="6"/>
  <c r="Q30" i="6"/>
  <c r="L30" i="6"/>
  <c r="B30" i="6"/>
  <c r="F30" i="6"/>
  <c r="J30" i="6"/>
  <c r="N30" i="6"/>
  <c r="H30" i="6"/>
  <c r="C30" i="6"/>
  <c r="G30" i="6"/>
  <c r="K30" i="6"/>
  <c r="O30" i="6"/>
  <c r="D30" i="6"/>
  <c r="P30" i="6"/>
  <c r="G11" i="6"/>
  <c r="J11" i="6" s="1"/>
  <c r="Q11" i="6" s="1"/>
  <c r="D24" i="12"/>
  <c r="D15" i="12"/>
  <c r="D14" i="12"/>
  <c r="D16" i="12"/>
  <c r="D13" i="12"/>
  <c r="D26" i="12"/>
  <c r="D30" i="12"/>
  <c r="D27" i="12"/>
  <c r="D29" i="12"/>
  <c r="D28" i="12"/>
  <c r="D21" i="12"/>
  <c r="D12" i="12"/>
  <c r="D20" i="12"/>
  <c r="D17" i="12"/>
  <c r="D25" i="12"/>
  <c r="D22" i="12"/>
  <c r="H37" i="6"/>
  <c r="P37" i="6"/>
  <c r="L37" i="6"/>
  <c r="F37" i="6"/>
  <c r="J37" i="6"/>
  <c r="N37" i="6"/>
  <c r="H36" i="6"/>
  <c r="P36" i="6"/>
  <c r="L36" i="6"/>
  <c r="N36" i="6"/>
  <c r="J36" i="6"/>
  <c r="G42" i="6"/>
  <c r="K42" i="6"/>
  <c r="O42" i="6"/>
  <c r="H55" i="6"/>
  <c r="P55" i="6"/>
  <c r="L55" i="6"/>
  <c r="H48" i="6"/>
  <c r="P48" i="6"/>
  <c r="L48" i="6"/>
  <c r="F45" i="6"/>
  <c r="J45" i="6"/>
  <c r="N45" i="6"/>
  <c r="F46" i="6"/>
  <c r="J46" i="6"/>
  <c r="N46" i="6"/>
  <c r="G49" i="6"/>
  <c r="O49" i="6"/>
  <c r="K49" i="6"/>
  <c r="G50" i="6"/>
  <c r="O50" i="6"/>
  <c r="K50" i="6"/>
  <c r="G47" i="6"/>
  <c r="K47" i="6"/>
  <c r="O47" i="6"/>
  <c r="H51" i="6"/>
  <c r="P51" i="6"/>
  <c r="L51" i="6"/>
  <c r="F54" i="6"/>
  <c r="J54" i="6"/>
  <c r="N54" i="6"/>
  <c r="F41" i="6"/>
  <c r="J41" i="6"/>
  <c r="N41" i="6"/>
  <c r="G39" i="6"/>
  <c r="K39" i="6"/>
  <c r="O39" i="6"/>
  <c r="G48" i="6"/>
  <c r="K48" i="6"/>
  <c r="O48" i="6"/>
  <c r="H52" i="6"/>
  <c r="P52" i="6"/>
  <c r="L52" i="6"/>
  <c r="F49" i="6"/>
  <c r="J49" i="6"/>
  <c r="N49" i="6"/>
  <c r="F50" i="6"/>
  <c r="J50" i="6"/>
  <c r="N50" i="6"/>
  <c r="F47" i="6"/>
  <c r="N47" i="6"/>
  <c r="J47" i="6"/>
  <c r="G53" i="6"/>
  <c r="O53" i="6"/>
  <c r="K53" i="6"/>
  <c r="G54" i="6"/>
  <c r="O54" i="6"/>
  <c r="K54" i="6"/>
  <c r="G51" i="6"/>
  <c r="K51" i="6"/>
  <c r="O51" i="6"/>
  <c r="H41" i="6"/>
  <c r="L41" i="6"/>
  <c r="P41" i="6"/>
  <c r="H42" i="6"/>
  <c r="P42" i="6"/>
  <c r="L42" i="6"/>
  <c r="F39" i="6"/>
  <c r="N39" i="6"/>
  <c r="J39" i="6"/>
  <c r="G55" i="6"/>
  <c r="K55" i="6"/>
  <c r="O55" i="6"/>
  <c r="F48" i="6"/>
  <c r="N48" i="6"/>
  <c r="J48" i="6"/>
  <c r="H46" i="6"/>
  <c r="L46" i="6"/>
  <c r="P46" i="6"/>
  <c r="G52" i="6"/>
  <c r="K52" i="6"/>
  <c r="O52" i="6"/>
  <c r="H50" i="6"/>
  <c r="L50" i="6"/>
  <c r="P50" i="6"/>
  <c r="F40" i="6"/>
  <c r="J40" i="6"/>
  <c r="N40" i="6"/>
  <c r="H53" i="6"/>
  <c r="L53" i="6"/>
  <c r="P53" i="6"/>
  <c r="H54" i="6"/>
  <c r="L54" i="6"/>
  <c r="P54" i="6"/>
  <c r="F51" i="6"/>
  <c r="N51" i="6"/>
  <c r="J51" i="6"/>
  <c r="F44" i="6"/>
  <c r="N44" i="6"/>
  <c r="J44" i="6"/>
  <c r="F42" i="6"/>
  <c r="N42" i="6"/>
  <c r="J42" i="6"/>
  <c r="H39" i="6"/>
  <c r="P39" i="6"/>
  <c r="L39" i="6"/>
  <c r="G46" i="6"/>
  <c r="O46" i="6"/>
  <c r="K46" i="6"/>
  <c r="F52" i="6"/>
  <c r="N52" i="6"/>
  <c r="J52" i="6"/>
  <c r="H40" i="6"/>
  <c r="L40" i="6"/>
  <c r="P40" i="6"/>
  <c r="F53" i="6"/>
  <c r="N53" i="6"/>
  <c r="J53" i="6"/>
  <c r="F38" i="6"/>
  <c r="J38" i="6"/>
  <c r="N38" i="6"/>
  <c r="H38" i="6"/>
  <c r="P38" i="6"/>
  <c r="L38" i="6"/>
  <c r="G38" i="6"/>
  <c r="O38" i="6"/>
  <c r="K38" i="6"/>
  <c r="F43" i="6"/>
  <c r="N43" i="6"/>
  <c r="J43" i="6"/>
  <c r="F36" i="6"/>
  <c r="G8" i="2"/>
  <c r="E12" i="12" s="1"/>
  <c r="G19" i="2"/>
  <c r="E23" i="6" s="1"/>
  <c r="G18" i="2"/>
  <c r="E22" i="12" s="1"/>
  <c r="G12" i="2"/>
  <c r="E16" i="12" s="1"/>
  <c r="G9" i="2"/>
  <c r="E13" i="12" s="1"/>
  <c r="G20" i="2"/>
  <c r="E24" i="12" s="1"/>
  <c r="G22" i="2"/>
  <c r="E26" i="12" s="1"/>
  <c r="G13" i="2"/>
  <c r="E17" i="12" s="1"/>
  <c r="G11" i="2"/>
  <c r="E15" i="12" s="1"/>
  <c r="G15" i="2"/>
  <c r="E19" i="6" s="1"/>
  <c r="G21" i="2"/>
  <c r="E25" i="12" s="1"/>
  <c r="G17" i="2"/>
  <c r="E21" i="12" s="1"/>
  <c r="G10" i="2"/>
  <c r="E14" i="12" s="1"/>
  <c r="G14" i="2"/>
  <c r="E18" i="6" s="1"/>
  <c r="G23" i="2"/>
  <c r="E27" i="12" s="1"/>
  <c r="G16" i="2"/>
  <c r="E20" i="6" s="1"/>
  <c r="D27" i="6"/>
  <c r="G24" i="2"/>
  <c r="E28" i="12" s="1"/>
  <c r="C25" i="6"/>
  <c r="D25" i="6"/>
  <c r="B25" i="6"/>
  <c r="C28" i="6"/>
  <c r="B29" i="6"/>
  <c r="I11" i="6"/>
  <c r="P11" i="6" s="1"/>
  <c r="D18" i="6"/>
  <c r="D21" i="6"/>
  <c r="G26" i="2"/>
  <c r="E30" i="12" s="1"/>
  <c r="D19" i="6"/>
  <c r="D28" i="6"/>
  <c r="B28" i="6"/>
  <c r="D15" i="6"/>
  <c r="C24" i="6"/>
  <c r="B26" i="6"/>
  <c r="B20" i="6"/>
  <c r="D14" i="6"/>
  <c r="B18" i="6"/>
  <c r="B27" i="6"/>
  <c r="B21" i="6"/>
  <c r="B19" i="6"/>
  <c r="C20" i="6"/>
  <c r="B14" i="6"/>
  <c r="C18" i="6"/>
  <c r="C27" i="6"/>
  <c r="C21" i="6"/>
  <c r="C19" i="6"/>
  <c r="D20" i="6"/>
  <c r="C14" i="6"/>
  <c r="C12" i="6"/>
  <c r="D23" i="6"/>
  <c r="B13" i="6"/>
  <c r="B12" i="6"/>
  <c r="B22" i="6"/>
  <c r="D16" i="6"/>
  <c r="C26" i="6"/>
  <c r="C16" i="6"/>
  <c r="C22" i="6"/>
  <c r="B23" i="6"/>
  <c r="D22" i="6"/>
  <c r="D26" i="6"/>
  <c r="C17" i="6"/>
  <c r="B24" i="6"/>
  <c r="C23" i="6"/>
  <c r="D17" i="6"/>
  <c r="D29" i="6"/>
  <c r="D13" i="6"/>
  <c r="C15" i="6"/>
  <c r="D24" i="6"/>
  <c r="B17" i="6"/>
  <c r="C29" i="6"/>
  <c r="B16" i="6"/>
  <c r="C13" i="6"/>
  <c r="B15" i="6"/>
  <c r="G25" i="2"/>
  <c r="D12" i="6"/>
  <c r="H11" i="6"/>
  <c r="K11" i="6"/>
  <c r="L11" i="6"/>
  <c r="E17" i="6" l="1"/>
  <c r="F17" i="12" s="1"/>
  <c r="E25" i="6"/>
  <c r="E27" i="6"/>
  <c r="F27" i="12" s="1"/>
  <c r="E24" i="6"/>
  <c r="F24" i="12" s="1"/>
  <c r="E21" i="6"/>
  <c r="F21" i="12" s="1"/>
  <c r="E22" i="6"/>
  <c r="F22" i="12" s="1"/>
  <c r="E26" i="6"/>
  <c r="D13" i="16"/>
  <c r="F13" i="11"/>
  <c r="J24" i="11"/>
  <c r="D24" i="16" s="1"/>
  <c r="F24" i="11"/>
  <c r="F14" i="12"/>
  <c r="F12" i="12"/>
  <c r="F13" i="12"/>
  <c r="F28" i="12"/>
  <c r="M11" i="6"/>
  <c r="F30" i="12"/>
  <c r="E23" i="12"/>
  <c r="F23" i="12"/>
  <c r="E19" i="12"/>
  <c r="F19" i="12"/>
  <c r="J30" i="12"/>
  <c r="K30" i="12"/>
  <c r="G28" i="6"/>
  <c r="H28" i="12" s="1"/>
  <c r="F28" i="6"/>
  <c r="G28" i="12" s="1"/>
  <c r="G20" i="6"/>
  <c r="M20" i="6" s="1"/>
  <c r="E20" i="12"/>
  <c r="F29" i="6"/>
  <c r="G29" i="12" s="1"/>
  <c r="E29" i="12"/>
  <c r="G18" i="6"/>
  <c r="J18" i="6" s="1"/>
  <c r="Q18" i="6" s="1"/>
  <c r="E18" i="12"/>
  <c r="Q51" i="6"/>
  <c r="I22" i="11" s="1"/>
  <c r="Q42" i="6"/>
  <c r="I13" i="11" s="1"/>
  <c r="Q50" i="6"/>
  <c r="I21" i="11" s="1"/>
  <c r="M50" i="6"/>
  <c r="H21" i="11" s="1"/>
  <c r="M51" i="6"/>
  <c r="H22" i="11" s="1"/>
  <c r="M42" i="6"/>
  <c r="H13" i="11" s="1"/>
  <c r="G21" i="6"/>
  <c r="H21" i="12" s="1"/>
  <c r="F17" i="6"/>
  <c r="I17" i="6" s="1"/>
  <c r="G25" i="6"/>
  <c r="H25" i="12" s="1"/>
  <c r="F26" i="6"/>
  <c r="G26" i="12" s="1"/>
  <c r="F25" i="6"/>
  <c r="G25" i="12" s="1"/>
  <c r="Q39" i="6"/>
  <c r="I10" i="11" s="1"/>
  <c r="I39" i="6"/>
  <c r="G10" i="11" s="1"/>
  <c r="M39" i="6"/>
  <c r="H10" i="11" s="1"/>
  <c r="Q53" i="6"/>
  <c r="I24" i="11" s="1"/>
  <c r="Q38" i="6"/>
  <c r="I9" i="11" s="1"/>
  <c r="Q52" i="6"/>
  <c r="I23" i="11" s="1"/>
  <c r="M46" i="6"/>
  <c r="H17" i="11" s="1"/>
  <c r="Q46" i="6"/>
  <c r="I17" i="11" s="1"/>
  <c r="M48" i="6"/>
  <c r="H19" i="11" s="1"/>
  <c r="I38" i="6"/>
  <c r="G9" i="11" s="1"/>
  <c r="M54" i="6"/>
  <c r="H25" i="11" s="1"/>
  <c r="M53" i="6"/>
  <c r="H24" i="11" s="1"/>
  <c r="Q48" i="6"/>
  <c r="I19" i="11" s="1"/>
  <c r="M38" i="6"/>
  <c r="H9" i="11" s="1"/>
  <c r="Q54" i="6"/>
  <c r="I25" i="11" s="1"/>
  <c r="M52" i="6"/>
  <c r="H23" i="11" s="1"/>
  <c r="F23" i="6"/>
  <c r="G23" i="12" s="1"/>
  <c r="G23" i="6"/>
  <c r="H23" i="12" s="1"/>
  <c r="F21" i="6"/>
  <c r="G21" i="12" s="1"/>
  <c r="F15" i="6"/>
  <c r="G15" i="12" s="1"/>
  <c r="G22" i="6"/>
  <c r="H22" i="12" s="1"/>
  <c r="F22" i="6"/>
  <c r="G22" i="12" s="1"/>
  <c r="F20" i="6"/>
  <c r="L20" i="6" s="1"/>
  <c r="G17" i="6"/>
  <c r="H17" i="12" s="1"/>
  <c r="N11" i="6"/>
  <c r="O11" i="6" s="1"/>
  <c r="F20" i="12"/>
  <c r="F13" i="6"/>
  <c r="G13" i="12" s="1"/>
  <c r="G26" i="6"/>
  <c r="J26" i="6" s="1"/>
  <c r="K26" i="12" s="1"/>
  <c r="F27" i="6"/>
  <c r="L27" i="6" s="1"/>
  <c r="G15" i="6"/>
  <c r="G16" i="6"/>
  <c r="J16" i="6" s="1"/>
  <c r="K16" i="12" s="1"/>
  <c r="F18" i="12"/>
  <c r="F14" i="6"/>
  <c r="G14" i="12" s="1"/>
  <c r="F18" i="6"/>
  <c r="G18" i="12" s="1"/>
  <c r="G14" i="6"/>
  <c r="H14" i="12" s="1"/>
  <c r="G13" i="6"/>
  <c r="F16" i="6"/>
  <c r="F24" i="6"/>
  <c r="G27" i="6"/>
  <c r="H27" i="12" s="1"/>
  <c r="G19" i="6"/>
  <c r="F19" i="6"/>
  <c r="G19" i="12" s="1"/>
  <c r="G24" i="6"/>
  <c r="F12" i="6"/>
  <c r="G12" i="6"/>
  <c r="G29" i="6"/>
  <c r="F29" i="12"/>
  <c r="H28" i="6"/>
  <c r="I28" i="12" s="1"/>
  <c r="E51" i="11"/>
  <c r="E60" i="11" s="1"/>
  <c r="E56" i="11"/>
  <c r="E71" i="11" l="1"/>
  <c r="E75" i="11"/>
  <c r="E69" i="11"/>
  <c r="J28" i="6"/>
  <c r="K28" i="12" s="1"/>
  <c r="M28" i="6"/>
  <c r="G30" i="12"/>
  <c r="K28" i="6"/>
  <c r="L28" i="12" s="1"/>
  <c r="H30" i="12"/>
  <c r="L30" i="12"/>
  <c r="I30" i="12"/>
  <c r="I50" i="6"/>
  <c r="G21" i="11" s="1"/>
  <c r="I51" i="6"/>
  <c r="G22" i="11" s="1"/>
  <c r="I42" i="6"/>
  <c r="G13" i="11" s="1"/>
  <c r="L29" i="6"/>
  <c r="I28" i="6"/>
  <c r="J28" i="12" s="1"/>
  <c r="L28" i="6"/>
  <c r="I29" i="6"/>
  <c r="J29" i="12" s="1"/>
  <c r="H18" i="12"/>
  <c r="H20" i="12"/>
  <c r="M18" i="6"/>
  <c r="J20" i="6"/>
  <c r="Q20" i="6" s="1"/>
  <c r="K16" i="6"/>
  <c r="L16" i="12" s="1"/>
  <c r="F16" i="12"/>
  <c r="K15" i="6"/>
  <c r="L15" i="12" s="1"/>
  <c r="F15" i="12"/>
  <c r="K26" i="6"/>
  <c r="L26" i="12" s="1"/>
  <c r="F26" i="12"/>
  <c r="H25" i="6"/>
  <c r="I25" i="12" s="1"/>
  <c r="F25" i="12"/>
  <c r="I15" i="6"/>
  <c r="J15" i="12" s="1"/>
  <c r="L25" i="6"/>
  <c r="H26" i="6"/>
  <c r="I26" i="12" s="1"/>
  <c r="L17" i="6"/>
  <c r="G17" i="12"/>
  <c r="I25" i="6"/>
  <c r="J25" i="12" s="1"/>
  <c r="K25" i="6"/>
  <c r="L25" i="12" s="1"/>
  <c r="K21" i="6"/>
  <c r="L21" i="12" s="1"/>
  <c r="I26" i="6"/>
  <c r="P26" i="6" s="1"/>
  <c r="H21" i="6"/>
  <c r="I21" i="12" s="1"/>
  <c r="L23" i="6"/>
  <c r="I23" i="6"/>
  <c r="J23" i="12" s="1"/>
  <c r="J21" i="6"/>
  <c r="K21" i="12" s="1"/>
  <c r="M21" i="6"/>
  <c r="H29" i="6"/>
  <c r="I29" i="12" s="1"/>
  <c r="P29" i="6"/>
  <c r="J25" i="6"/>
  <c r="K25" i="12" s="1"/>
  <c r="J23" i="6"/>
  <c r="Q23" i="6" s="1"/>
  <c r="M25" i="6"/>
  <c r="L26" i="6"/>
  <c r="I21" i="6"/>
  <c r="J21" i="12" s="1"/>
  <c r="L21" i="6"/>
  <c r="I54" i="6"/>
  <c r="G25" i="11" s="1"/>
  <c r="I52" i="6"/>
  <c r="G23" i="11" s="1"/>
  <c r="I53" i="6"/>
  <c r="G24" i="11" s="1"/>
  <c r="I48" i="6"/>
  <c r="G19" i="11" s="1"/>
  <c r="I46" i="6"/>
  <c r="G17" i="11" s="1"/>
  <c r="M23" i="6"/>
  <c r="L15" i="6"/>
  <c r="H22" i="6"/>
  <c r="I22" i="12" s="1"/>
  <c r="G20" i="12"/>
  <c r="K22" i="6"/>
  <c r="L22" i="12" s="1"/>
  <c r="K17" i="6"/>
  <c r="L17" i="12" s="1"/>
  <c r="I20" i="6"/>
  <c r="J20" i="12" s="1"/>
  <c r="H20" i="6"/>
  <c r="I20" i="12" s="1"/>
  <c r="H17" i="6"/>
  <c r="I17" i="12" s="1"/>
  <c r="K20" i="6"/>
  <c r="L20" i="12" s="1"/>
  <c r="M27" i="6"/>
  <c r="L22" i="6"/>
  <c r="I22" i="6"/>
  <c r="J22" i="12" s="1"/>
  <c r="J27" i="6"/>
  <c r="Q27" i="6" s="1"/>
  <c r="J22" i="6"/>
  <c r="K22" i="12" s="1"/>
  <c r="M22" i="6"/>
  <c r="K14" i="6"/>
  <c r="L14" i="12" s="1"/>
  <c r="M17" i="6"/>
  <c r="J17" i="6"/>
  <c r="K17" i="12" s="1"/>
  <c r="I19" i="6"/>
  <c r="J19" i="12" s="1"/>
  <c r="K29" i="6"/>
  <c r="L29" i="12" s="1"/>
  <c r="H18" i="6"/>
  <c r="I18" i="12" s="1"/>
  <c r="H14" i="6"/>
  <c r="I14" i="12" s="1"/>
  <c r="I13" i="6"/>
  <c r="J13" i="12" s="1"/>
  <c r="J14" i="6"/>
  <c r="K14" i="12" s="1"/>
  <c r="L19" i="6"/>
  <c r="L13" i="6"/>
  <c r="K18" i="12"/>
  <c r="M14" i="6"/>
  <c r="I27" i="6"/>
  <c r="J27" i="12" s="1"/>
  <c r="G27" i="12"/>
  <c r="H26" i="12"/>
  <c r="M26" i="6"/>
  <c r="Q26" i="6"/>
  <c r="L18" i="6"/>
  <c r="I18" i="6"/>
  <c r="J18" i="12" s="1"/>
  <c r="K27" i="6"/>
  <c r="L27" i="12" s="1"/>
  <c r="H27" i="6"/>
  <c r="I27" i="12" s="1"/>
  <c r="H24" i="6"/>
  <c r="I24" i="12" s="1"/>
  <c r="K24" i="6"/>
  <c r="L24" i="12" s="1"/>
  <c r="H15" i="6"/>
  <c r="I15" i="12" s="1"/>
  <c r="H15" i="12"/>
  <c r="J15" i="6"/>
  <c r="M15" i="6"/>
  <c r="K18" i="6"/>
  <c r="L18" i="12" s="1"/>
  <c r="H13" i="6"/>
  <c r="H16" i="12"/>
  <c r="M16" i="6"/>
  <c r="K19" i="6"/>
  <c r="L19" i="12" s="1"/>
  <c r="H19" i="6"/>
  <c r="I19" i="12" s="1"/>
  <c r="I14" i="6"/>
  <c r="H13" i="12"/>
  <c r="J13" i="6"/>
  <c r="M13" i="6"/>
  <c r="L14" i="6"/>
  <c r="K13" i="6"/>
  <c r="L13" i="12" s="1"/>
  <c r="Q16" i="6"/>
  <c r="G16" i="12"/>
  <c r="I16" i="6"/>
  <c r="L16" i="6"/>
  <c r="H16" i="6"/>
  <c r="I16" i="12" s="1"/>
  <c r="K23" i="6"/>
  <c r="L23" i="12" s="1"/>
  <c r="H23" i="6"/>
  <c r="I23" i="12" s="1"/>
  <c r="G24" i="12"/>
  <c r="I24" i="6"/>
  <c r="L24" i="6"/>
  <c r="H19" i="12"/>
  <c r="J19" i="6"/>
  <c r="M19" i="6"/>
  <c r="H24" i="12"/>
  <c r="J24" i="6"/>
  <c r="M24" i="6"/>
  <c r="H12" i="12"/>
  <c r="J12" i="6"/>
  <c r="M12" i="6"/>
  <c r="H12" i="6"/>
  <c r="K12" i="6"/>
  <c r="L12" i="12" s="1"/>
  <c r="I12" i="6"/>
  <c r="G12" i="12"/>
  <c r="L12" i="6"/>
  <c r="H29" i="12"/>
  <c r="M29" i="6"/>
  <c r="J29" i="6"/>
  <c r="Q28" i="6"/>
  <c r="P17" i="6"/>
  <c r="J17" i="12"/>
  <c r="F56" i="11"/>
  <c r="F51" i="11"/>
  <c r="F60" i="11" s="1"/>
  <c r="F75" i="11" l="1"/>
  <c r="F69" i="11"/>
  <c r="F71" i="11"/>
  <c r="P27" i="6"/>
  <c r="N27" i="6" s="1"/>
  <c r="O27" i="6" s="1"/>
  <c r="P28" i="6"/>
  <c r="P23" i="6"/>
  <c r="N23" i="6" s="1"/>
  <c r="O23" i="6" s="1"/>
  <c r="K20" i="12"/>
  <c r="J26" i="12"/>
  <c r="P15" i="6"/>
  <c r="Q14" i="6"/>
  <c r="K23" i="12"/>
  <c r="P25" i="6"/>
  <c r="Q21" i="6"/>
  <c r="P21" i="6"/>
  <c r="P13" i="6"/>
  <c r="Q25" i="6"/>
  <c r="P22" i="6"/>
  <c r="P20" i="6"/>
  <c r="N20" i="6" s="1"/>
  <c r="O20" i="6" s="1"/>
  <c r="N26" i="6"/>
  <c r="O26" i="6" s="1"/>
  <c r="Q22" i="6"/>
  <c r="P19" i="6"/>
  <c r="K27" i="12"/>
  <c r="Q17" i="6"/>
  <c r="N17" i="6" s="1"/>
  <c r="O17" i="6" s="1"/>
  <c r="P18" i="6"/>
  <c r="N18" i="6" s="1"/>
  <c r="O18" i="6" s="1"/>
  <c r="N14" i="6"/>
  <c r="O14" i="6" s="1"/>
  <c r="N28" i="6"/>
  <c r="O28" i="6" s="1"/>
  <c r="Q15" i="6"/>
  <c r="N15" i="6" s="1"/>
  <c r="O15" i="6" s="1"/>
  <c r="K15" i="12"/>
  <c r="I13" i="12"/>
  <c r="N13" i="6"/>
  <c r="O13" i="6" s="1"/>
  <c r="P14" i="6"/>
  <c r="J14" i="12"/>
  <c r="Q13" i="6"/>
  <c r="K13" i="12"/>
  <c r="P16" i="6"/>
  <c r="N16" i="6" s="1"/>
  <c r="O16" i="6" s="1"/>
  <c r="J16" i="12"/>
  <c r="J24" i="12"/>
  <c r="P24" i="6"/>
  <c r="K19" i="12"/>
  <c r="Q19" i="6"/>
  <c r="Q24" i="6"/>
  <c r="K24" i="12"/>
  <c r="J12" i="12"/>
  <c r="P12" i="6"/>
  <c r="K12" i="12"/>
  <c r="Q12" i="6"/>
  <c r="I12" i="12"/>
  <c r="Q29" i="6"/>
  <c r="N29" i="6" s="1"/>
  <c r="O29" i="6" s="1"/>
  <c r="K29" i="12"/>
  <c r="G56" i="11"/>
  <c r="G75" i="11" s="1"/>
  <c r="G51" i="11"/>
  <c r="G60" i="11" s="1"/>
  <c r="G69" i="11" l="1"/>
  <c r="G71" i="11"/>
  <c r="N25" i="6"/>
  <c r="O25" i="6" s="1"/>
  <c r="N21" i="6"/>
  <c r="O21" i="6" s="1"/>
  <c r="N22" i="6"/>
  <c r="O22" i="6" s="1"/>
  <c r="N19" i="6"/>
  <c r="O19" i="6" s="1"/>
  <c r="N24" i="6"/>
  <c r="O24" i="6" s="1"/>
  <c r="N12" i="6"/>
  <c r="O12" i="6" s="1"/>
  <c r="H56" i="11"/>
  <c r="H75" i="11" s="1"/>
  <c r="H51" i="11"/>
  <c r="H60" i="11" s="1"/>
  <c r="I38" i="11"/>
  <c r="I44" i="11" s="1"/>
  <c r="H69" i="11" l="1"/>
  <c r="H71" i="11"/>
  <c r="J38" i="11"/>
  <c r="J56" i="11" s="1"/>
  <c r="J75" i="11" s="1"/>
  <c r="I56" i="11"/>
  <c r="I75" i="11" s="1"/>
  <c r="I51" i="11"/>
  <c r="I60" i="11" s="1"/>
  <c r="J44" i="11" l="1"/>
  <c r="I69" i="11"/>
  <c r="J69" i="11"/>
  <c r="I71" i="11"/>
  <c r="J51" i="11"/>
  <c r="J60" i="11" s="1"/>
  <c r="K38" i="11"/>
  <c r="K56" i="11" s="1"/>
  <c r="K75" i="11" s="1"/>
  <c r="K44" i="11" l="1"/>
  <c r="K69" i="11"/>
  <c r="J71" i="11"/>
  <c r="K51" i="11"/>
  <c r="K60" i="11" s="1"/>
  <c r="L38" i="11"/>
  <c r="L56" i="11" s="1"/>
  <c r="L75" i="11" s="1"/>
  <c r="L44" i="11" l="1"/>
  <c r="K71" i="11"/>
  <c r="L69" i="11"/>
  <c r="L51" i="11"/>
  <c r="L60" i="11" s="1"/>
  <c r="M38" i="11"/>
  <c r="M51" i="11" s="1"/>
  <c r="M60" i="11" s="1"/>
  <c r="M44" i="11" l="1"/>
  <c r="L71" i="11"/>
  <c r="N38" i="11"/>
  <c r="N56" i="11" s="1"/>
  <c r="N75" i="11" s="1"/>
  <c r="M56" i="11"/>
  <c r="M75" i="11" s="1"/>
  <c r="N44" i="11" l="1"/>
  <c r="M69" i="11"/>
  <c r="N69" i="11"/>
  <c r="M71" i="11"/>
  <c r="N51" i="11"/>
  <c r="N60" i="11" s="1"/>
  <c r="O38" i="11"/>
  <c r="O44" i="11" l="1"/>
  <c r="N71" i="11"/>
  <c r="O56" i="11"/>
  <c r="O75" i="11" s="1"/>
  <c r="P38" i="11"/>
  <c r="O51" i="11"/>
  <c r="O60" i="11" s="1"/>
  <c r="P44" i="11" l="1"/>
  <c r="O69" i="11"/>
  <c r="O71" i="11"/>
  <c r="P56" i="11"/>
  <c r="P75" i="11" s="1"/>
  <c r="P51" i="11"/>
  <c r="P60" i="11" s="1"/>
  <c r="Q38" i="11"/>
  <c r="Q44" i="11" l="1"/>
  <c r="P69" i="11"/>
  <c r="P71" i="11"/>
  <c r="Q51" i="11"/>
  <c r="Q60" i="11" s="1"/>
  <c r="Q56" i="11"/>
  <c r="Q75" i="11" s="1"/>
  <c r="R38" i="11"/>
  <c r="R44" i="11" l="1"/>
  <c r="Q69" i="11"/>
  <c r="Q71" i="11"/>
  <c r="R51" i="11"/>
  <c r="R60" i="11" s="1"/>
  <c r="R56" i="11"/>
  <c r="R75" i="11" s="1"/>
  <c r="S38" i="11"/>
  <c r="S44" i="11" l="1"/>
  <c r="R69" i="11"/>
  <c r="R71" i="11"/>
  <c r="S51" i="11"/>
  <c r="S60" i="11" s="1"/>
  <c r="T38" i="11"/>
  <c r="S56" i="11"/>
  <c r="S75" i="11" s="1"/>
  <c r="T44" i="11" l="1"/>
  <c r="S69" i="11"/>
  <c r="S71" i="11"/>
  <c r="T51" i="11"/>
  <c r="T60" i="11" s="1"/>
  <c r="U38" i="11"/>
  <c r="T56" i="11"/>
  <c r="T75" i="11" s="1"/>
  <c r="U44" i="11" l="1"/>
  <c r="T69" i="11"/>
  <c r="T71" i="11"/>
  <c r="U56" i="11"/>
  <c r="U75" i="11" s="1"/>
  <c r="V38" i="11"/>
  <c r="U51" i="11"/>
  <c r="U60" i="11" s="1"/>
  <c r="V44" i="11" l="1"/>
  <c r="U71" i="11"/>
  <c r="U69" i="11"/>
  <c r="W38" i="11"/>
  <c r="V51" i="11"/>
  <c r="V60" i="11" s="1"/>
  <c r="V56" i="11"/>
  <c r="V75" i="11" s="1"/>
  <c r="W44" i="11" l="1"/>
  <c r="V69" i="11"/>
  <c r="V71" i="11"/>
  <c r="W56" i="11"/>
  <c r="W75" i="11" s="1"/>
  <c r="W51" i="11"/>
  <c r="W60" i="11" s="1"/>
  <c r="X38" i="11"/>
  <c r="X44" i="11" l="1"/>
  <c r="W69" i="11"/>
  <c r="W71" i="11"/>
  <c r="X51" i="11"/>
  <c r="X60" i="11" s="1"/>
  <c r="X56" i="11"/>
  <c r="X75" i="11" s="1"/>
  <c r="Y38" i="11"/>
  <c r="Y44" i="11" l="1"/>
  <c r="X69" i="11"/>
  <c r="X71" i="11"/>
  <c r="Z38" i="11"/>
  <c r="Y51" i="11"/>
  <c r="Y60" i="11" s="1"/>
  <c r="Y56" i="11"/>
  <c r="Y75" i="11" s="1"/>
  <c r="Z44" i="11" l="1"/>
  <c r="Y69" i="11"/>
  <c r="Y71" i="11"/>
  <c r="Z51" i="11"/>
  <c r="Z60" i="11" s="1"/>
  <c r="Z56" i="11"/>
  <c r="Z75" i="11" s="1"/>
  <c r="AA38" i="11"/>
  <c r="AA44" i="11" l="1"/>
  <c r="Z69" i="11"/>
  <c r="Z71" i="11"/>
  <c r="AA56" i="11"/>
  <c r="AA75" i="11" s="1"/>
  <c r="AA51" i="11"/>
  <c r="AA60" i="11" s="1"/>
  <c r="AB38" i="11"/>
  <c r="AB44" i="11" l="1"/>
  <c r="AA69" i="11"/>
  <c r="AA71" i="11"/>
  <c r="AC38" i="11"/>
  <c r="AB56" i="11"/>
  <c r="AB75" i="11" s="1"/>
  <c r="AB51" i="11"/>
  <c r="AB60" i="11" s="1"/>
  <c r="AC44" i="11" l="1"/>
  <c r="AB69" i="11"/>
  <c r="AB71" i="11"/>
  <c r="AD38" i="11"/>
  <c r="AC56" i="11"/>
  <c r="AC75" i="11" s="1"/>
  <c r="AC51" i="11"/>
  <c r="AC60" i="11" s="1"/>
  <c r="AD44" i="11" l="1"/>
  <c r="AC69" i="11"/>
  <c r="AC71" i="11"/>
  <c r="AE38" i="11"/>
  <c r="AD56" i="11"/>
  <c r="AD75" i="11" s="1"/>
  <c r="AD51" i="11"/>
  <c r="AD60" i="11" s="1"/>
  <c r="AE44" i="11" l="1"/>
  <c r="AD69" i="11"/>
  <c r="AD71" i="11"/>
  <c r="AF38" i="11"/>
  <c r="AE56" i="11"/>
  <c r="AE75" i="11" s="1"/>
  <c r="AE51" i="11"/>
  <c r="AE60" i="11" s="1"/>
  <c r="AF44" i="11" l="1"/>
  <c r="AE69" i="11"/>
  <c r="AE71" i="11"/>
  <c r="AG38" i="11"/>
  <c r="AF51" i="11"/>
  <c r="AF60" i="11" s="1"/>
  <c r="AF56" i="11"/>
  <c r="AF75" i="11" s="1"/>
  <c r="AG44" i="11" l="1"/>
  <c r="AF69" i="11"/>
  <c r="AF71" i="11"/>
  <c r="AH38" i="11"/>
  <c r="AG56" i="11"/>
  <c r="AG75" i="11" s="1"/>
  <c r="AG51" i="11"/>
  <c r="AG60" i="11" s="1"/>
  <c r="C11" i="12"/>
  <c r="AH44" i="11" l="1"/>
  <c r="AG69" i="11"/>
  <c r="AG71" i="11"/>
  <c r="AH51" i="11"/>
  <c r="AH60" i="11" s="1"/>
  <c r="AH56" i="11"/>
  <c r="AH75" i="11" s="1"/>
  <c r="C75" i="11" s="1"/>
  <c r="H11" i="12"/>
  <c r="D11" i="12"/>
  <c r="AH69" i="11" l="1"/>
  <c r="G15" i="16"/>
  <c r="AH71" i="11"/>
  <c r="C71" i="11" s="1"/>
  <c r="E11" i="12"/>
  <c r="G9" i="16" l="1"/>
  <c r="C69" i="11"/>
  <c r="G11" i="16"/>
  <c r="G11" i="12"/>
  <c r="F11" i="12"/>
  <c r="L11" i="12"/>
  <c r="K11" i="12"/>
  <c r="I11" i="12" l="1"/>
  <c r="J11" i="12"/>
  <c r="J52" i="2" l="1"/>
  <c r="D28" i="2" l="1"/>
  <c r="D44" i="2"/>
  <c r="E20" i="11" s="1"/>
  <c r="I23" i="16" l="1"/>
  <c r="C2" i="2"/>
  <c r="D35" i="2"/>
  <c r="E11" i="11" s="1"/>
  <c r="C11" i="16" s="1"/>
  <c r="D38" i="2"/>
  <c r="E14" i="11" s="1"/>
  <c r="C14" i="16" s="1"/>
  <c r="D50" i="2"/>
  <c r="E26" i="11" s="1"/>
  <c r="D39" i="2"/>
  <c r="E15" i="11" s="1"/>
  <c r="C15" i="16" s="1"/>
  <c r="D31" i="2"/>
  <c r="E7" i="11" s="1"/>
  <c r="C7" i="16" s="1"/>
  <c r="D42" i="2"/>
  <c r="D36" i="2"/>
  <c r="E12" i="11" s="1"/>
  <c r="C12" i="16" s="1"/>
  <c r="D32" i="2"/>
  <c r="D40" i="2"/>
  <c r="B49" i="6"/>
  <c r="I44" i="2"/>
  <c r="B37" i="6" l="1"/>
  <c r="E37" i="6" s="1"/>
  <c r="O37" i="6" s="1"/>
  <c r="Q37" i="6" s="1"/>
  <c r="I8" i="11" s="1"/>
  <c r="E8" i="11"/>
  <c r="C8" i="16" s="1"/>
  <c r="J20" i="11"/>
  <c r="D20" i="16" s="1"/>
  <c r="F20" i="11"/>
  <c r="B47" i="6"/>
  <c r="C47" i="6" s="1"/>
  <c r="H47" i="6" s="1"/>
  <c r="E18" i="11"/>
  <c r="C18" i="16" s="1"/>
  <c r="I40" i="2"/>
  <c r="J16" i="11" s="1"/>
  <c r="E16" i="11"/>
  <c r="C16" i="16" s="1"/>
  <c r="I36" i="2"/>
  <c r="J12" i="11" s="1"/>
  <c r="B40" i="6"/>
  <c r="I35" i="2"/>
  <c r="J11" i="11" s="1"/>
  <c r="B43" i="6"/>
  <c r="C43" i="6" s="1"/>
  <c r="I42" i="2"/>
  <c r="J18" i="11" s="1"/>
  <c r="B41" i="6"/>
  <c r="E41" i="6" s="1"/>
  <c r="O41" i="6" s="1"/>
  <c r="Q41" i="6" s="1"/>
  <c r="I12" i="11" s="1"/>
  <c r="I50" i="2"/>
  <c r="B55" i="6"/>
  <c r="E55" i="6" s="1"/>
  <c r="N55" i="6" s="1"/>
  <c r="Q55" i="6" s="1"/>
  <c r="I26" i="11" s="1"/>
  <c r="B45" i="6"/>
  <c r="C45" i="6" s="1"/>
  <c r="B36" i="6"/>
  <c r="D36" i="6" s="1"/>
  <c r="K36" i="6" s="1"/>
  <c r="M36" i="6" s="1"/>
  <c r="H7" i="11" s="1"/>
  <c r="I31" i="2"/>
  <c r="J7" i="11" s="1"/>
  <c r="I38" i="2"/>
  <c r="J14" i="11" s="1"/>
  <c r="B44" i="6"/>
  <c r="C44" i="6" s="1"/>
  <c r="I39" i="2"/>
  <c r="J15" i="11" s="1"/>
  <c r="I32" i="2"/>
  <c r="J8" i="11" s="1"/>
  <c r="C49" i="6"/>
  <c r="H49" i="6" s="1"/>
  <c r="E49" i="6"/>
  <c r="P49" i="6" s="1"/>
  <c r="Q49" i="6" s="1"/>
  <c r="I20" i="11" s="1"/>
  <c r="D49" i="6"/>
  <c r="L49" i="6" s="1"/>
  <c r="M49" i="6" s="1"/>
  <c r="H20" i="11" s="1"/>
  <c r="D37" i="6" l="1"/>
  <c r="K37" i="6" s="1"/>
  <c r="M37" i="6" s="1"/>
  <c r="H8" i="11" s="1"/>
  <c r="C37" i="6"/>
  <c r="G37" i="6" s="1"/>
  <c r="D47" i="6"/>
  <c r="L47" i="6" s="1"/>
  <c r="M47" i="6" s="1"/>
  <c r="H18" i="11" s="1"/>
  <c r="E47" i="6"/>
  <c r="P47" i="6" s="1"/>
  <c r="Q47" i="6" s="1"/>
  <c r="I18" i="11" s="1"/>
  <c r="C55" i="6"/>
  <c r="F55" i="6" s="1"/>
  <c r="I55" i="6" s="1"/>
  <c r="G26" i="11" s="1"/>
  <c r="D14" i="16"/>
  <c r="F14" i="11"/>
  <c r="D55" i="6"/>
  <c r="J55" i="6" s="1"/>
  <c r="M55" i="6" s="1"/>
  <c r="H26" i="11" s="1"/>
  <c r="D8" i="16"/>
  <c r="F8" i="11"/>
  <c r="D7" i="16"/>
  <c r="F7" i="11"/>
  <c r="J26" i="11"/>
  <c r="D26" i="16" s="1"/>
  <c r="F26" i="11"/>
  <c r="D11" i="16"/>
  <c r="F11" i="11"/>
  <c r="D16" i="16"/>
  <c r="F16" i="11"/>
  <c r="D15" i="16"/>
  <c r="F15" i="11"/>
  <c r="D18" i="16"/>
  <c r="F18" i="11"/>
  <c r="D12" i="16"/>
  <c r="F12" i="11"/>
  <c r="E43" i="6"/>
  <c r="O43" i="6" s="1"/>
  <c r="D43" i="6"/>
  <c r="K43" i="6" s="1"/>
  <c r="C40" i="6"/>
  <c r="G40" i="6" s="1"/>
  <c r="E40" i="6"/>
  <c r="O40" i="6" s="1"/>
  <c r="Q40" i="6" s="1"/>
  <c r="I11" i="11" s="1"/>
  <c r="D40" i="6"/>
  <c r="K40" i="6" s="1"/>
  <c r="M40" i="6" s="1"/>
  <c r="H11" i="11" s="1"/>
  <c r="C41" i="6"/>
  <c r="G41" i="6" s="1"/>
  <c r="E45" i="6"/>
  <c r="P45" i="6" s="1"/>
  <c r="D41" i="6"/>
  <c r="K41" i="6" s="1"/>
  <c r="M41" i="6" s="1"/>
  <c r="H12" i="11" s="1"/>
  <c r="D45" i="6"/>
  <c r="L45" i="6" s="1"/>
  <c r="E36" i="6"/>
  <c r="O36" i="6" s="1"/>
  <c r="Q36" i="6" s="1"/>
  <c r="I7" i="11" s="1"/>
  <c r="I52" i="2"/>
  <c r="F27" i="11" s="1"/>
  <c r="D44" i="6"/>
  <c r="K44" i="6" s="1"/>
  <c r="C36" i="6"/>
  <c r="G36" i="6" s="1"/>
  <c r="E44" i="6"/>
  <c r="P44" i="6" s="1"/>
  <c r="I49" i="6"/>
  <c r="G20" i="11" s="1"/>
  <c r="G43" i="6"/>
  <c r="H43" i="6"/>
  <c r="H44" i="6"/>
  <c r="G44" i="6"/>
  <c r="H45" i="6"/>
  <c r="G45" i="6"/>
  <c r="I37" i="6" l="1"/>
  <c r="G8" i="11" s="1"/>
  <c r="I47" i="6"/>
  <c r="G18" i="11" s="1"/>
  <c r="J27" i="11"/>
  <c r="K45" i="6"/>
  <c r="M45" i="6" s="1"/>
  <c r="H16" i="11" s="1"/>
  <c r="P43" i="6"/>
  <c r="L43" i="6"/>
  <c r="M43" i="6" s="1"/>
  <c r="H14" i="11" s="1"/>
  <c r="O45" i="6"/>
  <c r="Q45" i="6" s="1"/>
  <c r="I16" i="11" s="1"/>
  <c r="I40" i="6"/>
  <c r="G11" i="11" s="1"/>
  <c r="I36" i="6"/>
  <c r="G7" i="11" s="1"/>
  <c r="I41" i="6"/>
  <c r="G12" i="11" s="1"/>
  <c r="L44" i="6"/>
  <c r="M44" i="6" s="1"/>
  <c r="H15" i="11" s="1"/>
  <c r="O44" i="6"/>
  <c r="Q44" i="6" s="1"/>
  <c r="I15" i="11" s="1"/>
  <c r="Q43" i="6"/>
  <c r="I14" i="11" s="1"/>
  <c r="D109" i="11" l="1"/>
  <c r="N109" i="11" s="1"/>
  <c r="D113" i="11"/>
  <c r="R113" i="11" s="1"/>
  <c r="G117" i="11"/>
  <c r="K117" i="11"/>
  <c r="O117" i="11"/>
  <c r="S117" i="11"/>
  <c r="W117" i="11"/>
  <c r="AA117" i="11"/>
  <c r="AE117" i="11"/>
  <c r="J117" i="11"/>
  <c r="V117" i="11"/>
  <c r="D117" i="11"/>
  <c r="H117" i="11"/>
  <c r="L117" i="11"/>
  <c r="P117" i="11"/>
  <c r="T117" i="11"/>
  <c r="X117" i="11"/>
  <c r="AB117" i="11"/>
  <c r="AF117" i="11"/>
  <c r="F117" i="11"/>
  <c r="R117" i="11"/>
  <c r="AD117" i="11"/>
  <c r="E117" i="11"/>
  <c r="I117" i="11"/>
  <c r="M117" i="11"/>
  <c r="Q117" i="11"/>
  <c r="U117" i="11"/>
  <c r="Y117" i="11"/>
  <c r="AC117" i="11"/>
  <c r="AG117" i="11"/>
  <c r="N117" i="11"/>
  <c r="Z117" i="11"/>
  <c r="E116" i="11"/>
  <c r="I116" i="11"/>
  <c r="M116" i="11"/>
  <c r="Q116" i="11"/>
  <c r="U116" i="11"/>
  <c r="Y116" i="11"/>
  <c r="AC116" i="11"/>
  <c r="AG116" i="11"/>
  <c r="K116" i="11"/>
  <c r="W116" i="11"/>
  <c r="AE116" i="11"/>
  <c r="L116" i="11"/>
  <c r="T116" i="11"/>
  <c r="AB116" i="11"/>
  <c r="F116" i="11"/>
  <c r="J116" i="11"/>
  <c r="N116" i="11"/>
  <c r="R116" i="11"/>
  <c r="V116" i="11"/>
  <c r="Z116" i="11"/>
  <c r="AD116" i="11"/>
  <c r="G116" i="11"/>
  <c r="O116" i="11"/>
  <c r="S116" i="11"/>
  <c r="AA116" i="11"/>
  <c r="D116" i="11"/>
  <c r="H116" i="11"/>
  <c r="P116" i="11"/>
  <c r="X116" i="11"/>
  <c r="AF116" i="11"/>
  <c r="G115" i="11"/>
  <c r="K115" i="11"/>
  <c r="O115" i="11"/>
  <c r="S115" i="11"/>
  <c r="W115" i="11"/>
  <c r="AA115" i="11"/>
  <c r="AE115" i="11"/>
  <c r="F115" i="11"/>
  <c r="N115" i="11"/>
  <c r="Z115" i="11"/>
  <c r="H115" i="11"/>
  <c r="L115" i="11"/>
  <c r="P115" i="11"/>
  <c r="T115" i="11"/>
  <c r="X115" i="11"/>
  <c r="AB115" i="11"/>
  <c r="AF115" i="11"/>
  <c r="D115" i="11"/>
  <c r="J115" i="11"/>
  <c r="V115" i="11"/>
  <c r="E115" i="11"/>
  <c r="I115" i="11"/>
  <c r="M115" i="11"/>
  <c r="Q115" i="11"/>
  <c r="U115" i="11"/>
  <c r="Y115" i="11"/>
  <c r="AC115" i="11"/>
  <c r="AG115" i="11"/>
  <c r="R115" i="11"/>
  <c r="AD115" i="11"/>
  <c r="E114" i="11"/>
  <c r="I114" i="11"/>
  <c r="M114" i="11"/>
  <c r="Q114" i="11"/>
  <c r="U114" i="11"/>
  <c r="Y114" i="11"/>
  <c r="AC114" i="11"/>
  <c r="AG114" i="11"/>
  <c r="H114" i="11"/>
  <c r="P114" i="11"/>
  <c r="AB114" i="11"/>
  <c r="D114" i="11"/>
  <c r="F114" i="11"/>
  <c r="J114" i="11"/>
  <c r="N114" i="11"/>
  <c r="R114" i="11"/>
  <c r="V114" i="11"/>
  <c r="Z114" i="11"/>
  <c r="AD114" i="11"/>
  <c r="L114" i="11"/>
  <c r="X114" i="11"/>
  <c r="AF114" i="11"/>
  <c r="G114" i="11"/>
  <c r="K114" i="11"/>
  <c r="O114" i="11"/>
  <c r="S114" i="11"/>
  <c r="W114" i="11"/>
  <c r="AA114" i="11"/>
  <c r="AE114" i="11"/>
  <c r="T114" i="11"/>
  <c r="I45" i="6"/>
  <c r="G16" i="11" s="1"/>
  <c r="I44" i="6"/>
  <c r="G15" i="11" s="1"/>
  <c r="Q56" i="6"/>
  <c r="M56" i="6"/>
  <c r="I43" i="6"/>
  <c r="G14" i="11" s="1"/>
  <c r="P109" i="11" l="1"/>
  <c r="X109" i="11"/>
  <c r="AF109" i="11"/>
  <c r="T109" i="11"/>
  <c r="AA109" i="11"/>
  <c r="Q109" i="11"/>
  <c r="K109" i="11"/>
  <c r="O109" i="11"/>
  <c r="W109" i="11"/>
  <c r="S109" i="11"/>
  <c r="AG109" i="11"/>
  <c r="I109" i="11"/>
  <c r="J109" i="11"/>
  <c r="G109" i="11"/>
  <c r="AC109" i="11"/>
  <c r="AB109" i="11"/>
  <c r="F109" i="11"/>
  <c r="U109" i="11"/>
  <c r="R109" i="11"/>
  <c r="AE109" i="11"/>
  <c r="L109" i="11"/>
  <c r="V109" i="11"/>
  <c r="Z109" i="11"/>
  <c r="H109" i="11"/>
  <c r="M109" i="11"/>
  <c r="AD109" i="11"/>
  <c r="E109" i="11"/>
  <c r="Y109" i="11"/>
  <c r="S47" i="11"/>
  <c r="S113" i="11"/>
  <c r="T47" i="11" s="1"/>
  <c r="T49" i="11" s="1"/>
  <c r="T54" i="11" s="1"/>
  <c r="T62" i="11" s="1"/>
  <c r="E47" i="11"/>
  <c r="E74" i="11" s="1"/>
  <c r="AF113" i="11"/>
  <c r="AG47" i="11" s="1"/>
  <c r="AG49" i="11" s="1"/>
  <c r="AG54" i="11" s="1"/>
  <c r="AG62" i="11" s="1"/>
  <c r="Z113" i="11"/>
  <c r="AA47" i="11" s="1"/>
  <c r="AA49" i="11" s="1"/>
  <c r="AA54" i="11" s="1"/>
  <c r="AA62" i="11" s="1"/>
  <c r="AC113" i="11"/>
  <c r="AD47" i="11" s="1"/>
  <c r="AD49" i="11" s="1"/>
  <c r="AD54" i="11" s="1"/>
  <c r="AD62" i="11" s="1"/>
  <c r="AB113" i="11"/>
  <c r="AC47" i="11" s="1"/>
  <c r="AC74" i="11" s="1"/>
  <c r="O113" i="11"/>
  <c r="P47" i="11" s="1"/>
  <c r="P74" i="11" s="1"/>
  <c r="F113" i="11"/>
  <c r="G47" i="11" s="1"/>
  <c r="G49" i="11" s="1"/>
  <c r="G54" i="11" s="1"/>
  <c r="G62" i="11" s="1"/>
  <c r="AD113" i="11"/>
  <c r="AE47" i="11" s="1"/>
  <c r="AE49" i="11" s="1"/>
  <c r="AE54" i="11" s="1"/>
  <c r="AE62" i="11" s="1"/>
  <c r="J113" i="11"/>
  <c r="K47" i="11" s="1"/>
  <c r="K74" i="11" s="1"/>
  <c r="T113" i="11"/>
  <c r="U47" i="11" s="1"/>
  <c r="U49" i="11" s="1"/>
  <c r="U54" i="11" s="1"/>
  <c r="U62" i="11" s="1"/>
  <c r="N113" i="11"/>
  <c r="O47" i="11" s="1"/>
  <c r="O49" i="11" s="1"/>
  <c r="O54" i="11" s="1"/>
  <c r="O62" i="11" s="1"/>
  <c r="AA113" i="11"/>
  <c r="AB47" i="11" s="1"/>
  <c r="AB49" i="11" s="1"/>
  <c r="AB54" i="11" s="1"/>
  <c r="AB62" i="11" s="1"/>
  <c r="AG113" i="11"/>
  <c r="AH47" i="11" s="1"/>
  <c r="AH74" i="11" s="1"/>
  <c r="W113" i="11"/>
  <c r="X47" i="11" s="1"/>
  <c r="X49" i="11" s="1"/>
  <c r="X54" i="11" s="1"/>
  <c r="X62" i="11" s="1"/>
  <c r="I113" i="11"/>
  <c r="J47" i="11" s="1"/>
  <c r="J49" i="11" s="1"/>
  <c r="J54" i="11" s="1"/>
  <c r="J62" i="11" s="1"/>
  <c r="U113" i="11"/>
  <c r="V47" i="11" s="1"/>
  <c r="V49" i="11" s="1"/>
  <c r="V54" i="11" s="1"/>
  <c r="V62" i="11" s="1"/>
  <c r="P113" i="11"/>
  <c r="Q47" i="11" s="1"/>
  <c r="Q49" i="11" s="1"/>
  <c r="Q54" i="11" s="1"/>
  <c r="Q62" i="11" s="1"/>
  <c r="L113" i="11"/>
  <c r="M47" i="11" s="1"/>
  <c r="M74" i="11" s="1"/>
  <c r="Q113" i="11"/>
  <c r="R47" i="11" s="1"/>
  <c r="R49" i="11" s="1"/>
  <c r="R54" i="11" s="1"/>
  <c r="R62" i="11" s="1"/>
  <c r="AE113" i="11"/>
  <c r="AF47" i="11" s="1"/>
  <c r="AF74" i="11" s="1"/>
  <c r="M113" i="11"/>
  <c r="N47" i="11" s="1"/>
  <c r="N74" i="11" s="1"/>
  <c r="K113" i="11"/>
  <c r="L47" i="11" s="1"/>
  <c r="L74" i="11" s="1"/>
  <c r="Y113" i="11"/>
  <c r="Z47" i="11" s="1"/>
  <c r="Z74" i="11" s="1"/>
  <c r="G113" i="11"/>
  <c r="H47" i="11" s="1"/>
  <c r="H49" i="11" s="1"/>
  <c r="H54" i="11" s="1"/>
  <c r="H62" i="11" s="1"/>
  <c r="H113" i="11"/>
  <c r="I47" i="11" s="1"/>
  <c r="I49" i="11" s="1"/>
  <c r="I54" i="11" s="1"/>
  <c r="I62" i="11" s="1"/>
  <c r="E113" i="11"/>
  <c r="F47" i="11" s="1"/>
  <c r="F49" i="11" s="1"/>
  <c r="F54" i="11" s="1"/>
  <c r="F62" i="11" s="1"/>
  <c r="V113" i="11"/>
  <c r="W47" i="11" s="1"/>
  <c r="W74" i="11" s="1"/>
  <c r="X113" i="11"/>
  <c r="Y47" i="11" s="1"/>
  <c r="Y49" i="11" s="1"/>
  <c r="Y54" i="11" s="1"/>
  <c r="Y62" i="11" s="1"/>
  <c r="H27" i="11"/>
  <c r="B34" i="11"/>
  <c r="C34" i="11" s="1"/>
  <c r="B35" i="11"/>
  <c r="C35" i="11" s="1"/>
  <c r="I27" i="11"/>
  <c r="S49" i="11"/>
  <c r="S54" i="11" s="1"/>
  <c r="S62" i="11" s="1"/>
  <c r="S74" i="11"/>
  <c r="I56" i="6"/>
  <c r="G74" i="11" l="1"/>
  <c r="N49" i="11"/>
  <c r="N54" i="11" s="1"/>
  <c r="N62" i="11" s="1"/>
  <c r="O74" i="11"/>
  <c r="M49" i="11"/>
  <c r="M54" i="11" s="1"/>
  <c r="M62" i="11" s="1"/>
  <c r="U74" i="11"/>
  <c r="AG74" i="11"/>
  <c r="P49" i="11"/>
  <c r="P54" i="11" s="1"/>
  <c r="P62" i="11" s="1"/>
  <c r="X74" i="11"/>
  <c r="W49" i="11"/>
  <c r="W54" i="11" s="1"/>
  <c r="W62" i="11" s="1"/>
  <c r="F74" i="11"/>
  <c r="C74" i="11" s="1"/>
  <c r="I74" i="11"/>
  <c r="Q74" i="11"/>
  <c r="AH49" i="11"/>
  <c r="AH54" i="11" s="1"/>
  <c r="AH62" i="11" s="1"/>
  <c r="K49" i="11"/>
  <c r="K54" i="11" s="1"/>
  <c r="K62" i="11" s="1"/>
  <c r="AC49" i="11"/>
  <c r="AC54" i="11" s="1"/>
  <c r="AC62" i="11" s="1"/>
  <c r="E49" i="11"/>
  <c r="E54" i="11" s="1"/>
  <c r="E62" i="11" s="1"/>
  <c r="J74" i="11"/>
  <c r="AA74" i="11"/>
  <c r="Z49" i="11"/>
  <c r="Z54" i="11" s="1"/>
  <c r="Z62" i="11" s="1"/>
  <c r="R74" i="11"/>
  <c r="L49" i="11"/>
  <c r="L54" i="11" s="1"/>
  <c r="L62" i="11" s="1"/>
  <c r="AF49" i="11"/>
  <c r="AF54" i="11" s="1"/>
  <c r="AF62" i="11" s="1"/>
  <c r="V74" i="11"/>
  <c r="AE74" i="11"/>
  <c r="H74" i="11"/>
  <c r="T74" i="11"/>
  <c r="Y74" i="11"/>
  <c r="AD74" i="11"/>
  <c r="AB74" i="11"/>
  <c r="B33" i="11"/>
  <c r="C33" i="11" s="1"/>
  <c r="C36" i="11" s="1"/>
  <c r="D100" i="11" s="1"/>
  <c r="G27" i="11"/>
  <c r="E104" i="11" l="1"/>
  <c r="I104" i="11"/>
  <c r="M104" i="11"/>
  <c r="Q104" i="11"/>
  <c r="U104" i="11"/>
  <c r="Y104" i="11"/>
  <c r="AC104" i="11"/>
  <c r="AG104" i="11"/>
  <c r="P104" i="11"/>
  <c r="AB104" i="11"/>
  <c r="F104" i="11"/>
  <c r="J104" i="11"/>
  <c r="N104" i="11"/>
  <c r="R104" i="11"/>
  <c r="V104" i="11"/>
  <c r="Z104" i="11"/>
  <c r="AD104" i="11"/>
  <c r="D104" i="11"/>
  <c r="L104" i="11"/>
  <c r="X104" i="11"/>
  <c r="G104" i="11"/>
  <c r="K104" i="11"/>
  <c r="O104" i="11"/>
  <c r="S104" i="11"/>
  <c r="W104" i="11"/>
  <c r="AA104" i="11"/>
  <c r="AE104" i="11"/>
  <c r="H104" i="11"/>
  <c r="T104" i="11"/>
  <c r="AF104" i="11"/>
  <c r="C64" i="11"/>
  <c r="G16" i="16" s="1"/>
  <c r="E103" i="11"/>
  <c r="I103" i="11"/>
  <c r="M103" i="11"/>
  <c r="Q103" i="11"/>
  <c r="U103" i="11"/>
  <c r="Y103" i="11"/>
  <c r="AC103" i="11"/>
  <c r="AG103" i="11"/>
  <c r="G103" i="11"/>
  <c r="O103" i="11"/>
  <c r="W103" i="11"/>
  <c r="AE103" i="11"/>
  <c r="D103" i="11"/>
  <c r="H103" i="11"/>
  <c r="P103" i="11"/>
  <c r="X103" i="11"/>
  <c r="AF103" i="11"/>
  <c r="F103" i="11"/>
  <c r="J103" i="11"/>
  <c r="N103" i="11"/>
  <c r="R103" i="11"/>
  <c r="V103" i="11"/>
  <c r="Z103" i="11"/>
  <c r="AD103" i="11"/>
  <c r="K103" i="11"/>
  <c r="S103" i="11"/>
  <c r="AA103" i="11"/>
  <c r="L103" i="11"/>
  <c r="T103" i="11"/>
  <c r="AB103" i="11"/>
  <c r="E102" i="11"/>
  <c r="I102" i="11"/>
  <c r="M102" i="11"/>
  <c r="Q102" i="11"/>
  <c r="U102" i="11"/>
  <c r="Y102" i="11"/>
  <c r="AC102" i="11"/>
  <c r="AG102" i="11"/>
  <c r="P102" i="11"/>
  <c r="T102" i="11"/>
  <c r="AB102" i="11"/>
  <c r="F102" i="11"/>
  <c r="J102" i="11"/>
  <c r="N102" i="11"/>
  <c r="R102" i="11"/>
  <c r="V102" i="11"/>
  <c r="Z102" i="11"/>
  <c r="AD102" i="11"/>
  <c r="L102" i="11"/>
  <c r="G102" i="11"/>
  <c r="K102" i="11"/>
  <c r="O102" i="11"/>
  <c r="S102" i="11"/>
  <c r="W102" i="11"/>
  <c r="AA102" i="11"/>
  <c r="AE102" i="11"/>
  <c r="H102" i="11"/>
  <c r="X102" i="11"/>
  <c r="AF102" i="11"/>
  <c r="D102" i="11"/>
  <c r="G14" i="16"/>
  <c r="E101" i="11"/>
  <c r="I101" i="11"/>
  <c r="M101" i="11"/>
  <c r="Q101" i="11"/>
  <c r="U101" i="11"/>
  <c r="Y101" i="11"/>
  <c r="AC101" i="11"/>
  <c r="AG101" i="11"/>
  <c r="P101" i="11"/>
  <c r="T101" i="11"/>
  <c r="F101" i="11"/>
  <c r="J101" i="11"/>
  <c r="N101" i="11"/>
  <c r="R101" i="11"/>
  <c r="V101" i="11"/>
  <c r="Z101" i="11"/>
  <c r="AD101" i="11"/>
  <c r="L101" i="11"/>
  <c r="AB101" i="11"/>
  <c r="G101" i="11"/>
  <c r="K101" i="11"/>
  <c r="O101" i="11"/>
  <c r="S101" i="11"/>
  <c r="W101" i="11"/>
  <c r="AA101" i="11"/>
  <c r="AE101" i="11"/>
  <c r="H101" i="11"/>
  <c r="X101" i="11"/>
  <c r="AF101" i="11"/>
  <c r="D101" i="11"/>
  <c r="D96" i="11"/>
  <c r="E43" i="11" l="1"/>
  <c r="E70" i="11" s="1"/>
  <c r="M100" i="11"/>
  <c r="J100" i="11"/>
  <c r="Z100" i="11"/>
  <c r="G100" i="11"/>
  <c r="W100" i="11"/>
  <c r="AG100" i="11"/>
  <c r="AB100" i="11"/>
  <c r="AC43" i="11" s="1"/>
  <c r="P100" i="11"/>
  <c r="H100" i="11"/>
  <c r="I100" i="11"/>
  <c r="N100" i="11"/>
  <c r="O43" i="11" s="1"/>
  <c r="AD100" i="11"/>
  <c r="K100" i="11"/>
  <c r="AA100" i="11"/>
  <c r="Y100" i="11"/>
  <c r="Z43" i="11" s="1"/>
  <c r="T100" i="11"/>
  <c r="U100" i="11"/>
  <c r="AC100" i="11"/>
  <c r="F100" i="11"/>
  <c r="G43" i="11" s="1"/>
  <c r="S100" i="11"/>
  <c r="R100" i="11"/>
  <c r="E100" i="11"/>
  <c r="O100" i="11"/>
  <c r="AE100" i="11"/>
  <c r="Q100" i="11"/>
  <c r="L100" i="11"/>
  <c r="AF100" i="11"/>
  <c r="V100" i="11"/>
  <c r="X100" i="11"/>
  <c r="F96" i="11"/>
  <c r="J96" i="11"/>
  <c r="N96" i="11"/>
  <c r="R96" i="11"/>
  <c r="V96" i="11"/>
  <c r="Z96" i="11"/>
  <c r="AD96" i="11"/>
  <c r="E96" i="11"/>
  <c r="H96" i="11"/>
  <c r="T96" i="11"/>
  <c r="AB96" i="11"/>
  <c r="G96" i="11"/>
  <c r="K96" i="11"/>
  <c r="O96" i="11"/>
  <c r="S96" i="11"/>
  <c r="W96" i="11"/>
  <c r="AA96" i="11"/>
  <c r="AE96" i="11"/>
  <c r="L96" i="11"/>
  <c r="P96" i="11"/>
  <c r="X96" i="11"/>
  <c r="AF96" i="11"/>
  <c r="M96" i="11"/>
  <c r="AC96" i="11"/>
  <c r="U96" i="11"/>
  <c r="Q96" i="11"/>
  <c r="AG96" i="11"/>
  <c r="I96" i="11"/>
  <c r="Y96" i="11"/>
  <c r="E45" i="11" l="1"/>
  <c r="E53" i="11" s="1"/>
  <c r="E61" i="11" s="1"/>
  <c r="AA43" i="11"/>
  <c r="AA70" i="11" s="1"/>
  <c r="M43" i="11"/>
  <c r="M70" i="11" s="1"/>
  <c r="F43" i="11"/>
  <c r="AD43" i="11"/>
  <c r="AD70" i="11" s="1"/>
  <c r="AB43" i="11"/>
  <c r="AB70" i="11" s="1"/>
  <c r="J43" i="11"/>
  <c r="AH43" i="11"/>
  <c r="AH70" i="11" s="1"/>
  <c r="K43" i="11"/>
  <c r="K70" i="11" s="1"/>
  <c r="P43" i="11"/>
  <c r="P70" i="11" s="1"/>
  <c r="Y43" i="11"/>
  <c r="Y70" i="11" s="1"/>
  <c r="R43" i="11"/>
  <c r="R70" i="11" s="1"/>
  <c r="S43" i="11"/>
  <c r="S45" i="11" s="1"/>
  <c r="S53" i="11" s="1"/>
  <c r="S55" i="11" s="1"/>
  <c r="S57" i="11" s="1"/>
  <c r="V43" i="11"/>
  <c r="V70" i="11" s="1"/>
  <c r="L43" i="11"/>
  <c r="L45" i="11" s="1"/>
  <c r="L53" i="11" s="1"/>
  <c r="L55" i="11" s="1"/>
  <c r="L57" i="11" s="1"/>
  <c r="I43" i="11"/>
  <c r="I45" i="11" s="1"/>
  <c r="I53" i="11" s="1"/>
  <c r="I55" i="11" s="1"/>
  <c r="I57" i="11" s="1"/>
  <c r="X43" i="11"/>
  <c r="X45" i="11" s="1"/>
  <c r="X53" i="11" s="1"/>
  <c r="X61" i="11" s="1"/>
  <c r="N43" i="11"/>
  <c r="N45" i="11" s="1"/>
  <c r="N53" i="11" s="1"/>
  <c r="N61" i="11" s="1"/>
  <c r="AG43" i="11"/>
  <c r="AG45" i="11" s="1"/>
  <c r="AG53" i="11" s="1"/>
  <c r="AG55" i="11" s="1"/>
  <c r="AG57" i="11" s="1"/>
  <c r="W43" i="11"/>
  <c r="W70" i="11" s="1"/>
  <c r="AF43" i="11"/>
  <c r="AF45" i="11" s="1"/>
  <c r="AF53" i="11" s="1"/>
  <c r="AF61" i="11" s="1"/>
  <c r="T43" i="11"/>
  <c r="T45" i="11" s="1"/>
  <c r="T53" i="11" s="1"/>
  <c r="U43" i="11"/>
  <c r="U70" i="11" s="1"/>
  <c r="AE43" i="11"/>
  <c r="AE45" i="11" s="1"/>
  <c r="AE53" i="11" s="1"/>
  <c r="Q43" i="11"/>
  <c r="Q45" i="11" s="1"/>
  <c r="Q53" i="11" s="1"/>
  <c r="Q55" i="11" s="1"/>
  <c r="Q57" i="11" s="1"/>
  <c r="H43" i="11"/>
  <c r="H45" i="11" s="1"/>
  <c r="H53" i="11" s="1"/>
  <c r="H55" i="11" s="1"/>
  <c r="H57" i="11" s="1"/>
  <c r="G70" i="11"/>
  <c r="G45" i="11"/>
  <c r="G53" i="11" s="1"/>
  <c r="G61" i="11" s="1"/>
  <c r="Z70" i="11"/>
  <c r="Z45" i="11"/>
  <c r="Z53" i="11" s="1"/>
  <c r="Z61" i="11" s="1"/>
  <c r="O70" i="11"/>
  <c r="O45" i="11"/>
  <c r="O53" i="11" s="1"/>
  <c r="O55" i="11" s="1"/>
  <c r="O57" i="11" s="1"/>
  <c r="AC70" i="11"/>
  <c r="AC45" i="11"/>
  <c r="AC53" i="11" s="1"/>
  <c r="AC61" i="11" s="1"/>
  <c r="AA45" i="11"/>
  <c r="AA53" i="11" s="1"/>
  <c r="AA55" i="11" s="1"/>
  <c r="AA57" i="11" s="1"/>
  <c r="J70" i="11"/>
  <c r="J45" i="11"/>
  <c r="J53" i="11" s="1"/>
  <c r="J55" i="11" s="1"/>
  <c r="J57" i="11" s="1"/>
  <c r="V45" i="11"/>
  <c r="V53" i="11" s="1"/>
  <c r="V55" i="11" s="1"/>
  <c r="V57" i="11" s="1"/>
  <c r="L70" i="11"/>
  <c r="N70" i="11"/>
  <c r="E55" i="11"/>
  <c r="E57" i="11" s="1"/>
  <c r="P45" i="11" l="1"/>
  <c r="P53" i="11" s="1"/>
  <c r="P55" i="11" s="1"/>
  <c r="P57" i="11" s="1"/>
  <c r="AB45" i="11"/>
  <c r="AB53" i="11" s="1"/>
  <c r="AB61" i="11" s="1"/>
  <c r="Y45" i="11"/>
  <c r="Y53" i="11" s="1"/>
  <c r="Y61" i="11" s="1"/>
  <c r="M45" i="11"/>
  <c r="M53" i="11" s="1"/>
  <c r="M61" i="11" s="1"/>
  <c r="H70" i="11"/>
  <c r="I70" i="11"/>
  <c r="T70" i="11"/>
  <c r="AG70" i="11"/>
  <c r="U45" i="11"/>
  <c r="U53" i="11" s="1"/>
  <c r="U55" i="11" s="1"/>
  <c r="U57" i="11" s="1"/>
  <c r="F45" i="11"/>
  <c r="F53" i="11" s="1"/>
  <c r="F61" i="11" s="1"/>
  <c r="F70" i="11"/>
  <c r="R45" i="11"/>
  <c r="R53" i="11" s="1"/>
  <c r="R55" i="11" s="1"/>
  <c r="R57" i="11" s="1"/>
  <c r="AH45" i="11"/>
  <c r="AH53" i="11" s="1"/>
  <c r="AH55" i="11" s="1"/>
  <c r="AH57" i="11" s="1"/>
  <c r="AE70" i="11"/>
  <c r="AF70" i="11"/>
  <c r="W45" i="11"/>
  <c r="W53" i="11" s="1"/>
  <c r="T55" i="11"/>
  <c r="T57" i="11" s="1"/>
  <c r="T61" i="11"/>
  <c r="AE55" i="11"/>
  <c r="AE57" i="11" s="1"/>
  <c r="AE61" i="11"/>
  <c r="H61" i="11"/>
  <c r="Q70" i="11"/>
  <c r="S70" i="11"/>
  <c r="X70" i="11"/>
  <c r="AD45" i="11"/>
  <c r="AD53" i="11" s="1"/>
  <c r="AD55" i="11" s="1"/>
  <c r="AD57" i="11" s="1"/>
  <c r="K45" i="11"/>
  <c r="K53" i="11" s="1"/>
  <c r="K61" i="11" s="1"/>
  <c r="Z55" i="11"/>
  <c r="Z57" i="11" s="1"/>
  <c r="O61" i="11"/>
  <c r="S61" i="11"/>
  <c r="AC55" i="11"/>
  <c r="AC57" i="11" s="1"/>
  <c r="L61" i="11"/>
  <c r="I61" i="11"/>
  <c r="Q61" i="11"/>
  <c r="AA61" i="11"/>
  <c r="G55" i="11"/>
  <c r="G57" i="11" s="1"/>
  <c r="X55" i="11"/>
  <c r="X57" i="11" s="1"/>
  <c r="AG61" i="11"/>
  <c r="AF55" i="11"/>
  <c r="AF57" i="11" s="1"/>
  <c r="N55" i="11"/>
  <c r="N57" i="11" s="1"/>
  <c r="J61" i="11"/>
  <c r="V61" i="11"/>
  <c r="C82" i="11"/>
  <c r="AB55" i="11" l="1"/>
  <c r="AB57" i="11" s="1"/>
  <c r="P61" i="11"/>
  <c r="Y55" i="11"/>
  <c r="Y57" i="11" s="1"/>
  <c r="M55" i="11"/>
  <c r="M57" i="11" s="1"/>
  <c r="F55" i="11"/>
  <c r="F57" i="11" s="1"/>
  <c r="R61" i="11"/>
  <c r="K55" i="11"/>
  <c r="K57" i="11" s="1"/>
  <c r="AH61" i="11"/>
  <c r="U61" i="11"/>
  <c r="C70" i="11"/>
  <c r="W55" i="11"/>
  <c r="W57" i="11" s="1"/>
  <c r="W61" i="11"/>
  <c r="G10" i="16"/>
  <c r="AD61" i="11"/>
  <c r="D61" i="11"/>
  <c r="D55" i="11"/>
  <c r="C63" i="11" l="1"/>
  <c r="G12" i="16" s="1"/>
  <c r="G8" i="16"/>
  <c r="D57" i="11"/>
  <c r="C58" i="11" s="1"/>
  <c r="G17" i="16" s="1"/>
  <c r="C66" i="11"/>
  <c r="G19" i="16" s="1"/>
  <c r="C65" i="11" l="1"/>
  <c r="G18" i="16" s="1"/>
</calcChain>
</file>

<file path=xl/comments1.xml><?xml version="1.0" encoding="utf-8"?>
<comments xmlns="http://schemas.openxmlformats.org/spreadsheetml/2006/main">
  <authors>
    <author>Manal</author>
  </authors>
  <commentList>
    <comment ref="P13" authorId="0" shapeId="0">
      <text>
        <r>
          <rPr>
            <sz val="9"/>
            <color indexed="81"/>
            <rFont val="Tahoma"/>
            <family val="2"/>
          </rPr>
          <t xml:space="preserve">this the grain yield
</t>
        </r>
      </text>
    </comment>
    <comment ref="R13" authorId="0" shapeId="0">
      <text>
        <r>
          <rPr>
            <sz val="9"/>
            <color indexed="81"/>
            <rFont val="Tahoma"/>
            <family val="2"/>
          </rPr>
          <t xml:space="preserve">this is the hay yield
</t>
        </r>
      </text>
    </comment>
    <comment ref="P14" authorId="0" shapeId="0">
      <text>
        <r>
          <rPr>
            <b/>
            <sz val="9"/>
            <color indexed="81"/>
            <rFont val="Tahoma"/>
            <family val="2"/>
          </rPr>
          <t>grain yield</t>
        </r>
      </text>
    </comment>
    <comment ref="R14" authorId="0" shapeId="0">
      <text>
        <r>
          <rPr>
            <b/>
            <sz val="9"/>
            <color indexed="81"/>
            <rFont val="Tahoma"/>
            <family val="2"/>
          </rPr>
          <t>hay yield</t>
        </r>
        <r>
          <rPr>
            <sz val="9"/>
            <color indexed="81"/>
            <rFont val="Tahoma"/>
            <family val="2"/>
          </rPr>
          <t xml:space="preserve">
</t>
        </r>
      </text>
    </comment>
  </commentList>
</comments>
</file>

<file path=xl/sharedStrings.xml><?xml version="1.0" encoding="utf-8"?>
<sst xmlns="http://schemas.openxmlformats.org/spreadsheetml/2006/main" count="613" uniqueCount="359">
  <si>
    <t>olive tree</t>
  </si>
  <si>
    <t xml:space="preserve">water Quality </t>
  </si>
  <si>
    <t>T1</t>
  </si>
  <si>
    <t>T2</t>
  </si>
  <si>
    <t>T3</t>
  </si>
  <si>
    <t>barley</t>
  </si>
  <si>
    <t>oat</t>
  </si>
  <si>
    <t>Millets</t>
  </si>
  <si>
    <t>water melon</t>
  </si>
  <si>
    <t>cucumber</t>
  </si>
  <si>
    <t>Ecw ds/m</t>
  </si>
  <si>
    <t>palm tree</t>
  </si>
  <si>
    <t>eggplant</t>
  </si>
  <si>
    <t>slop %</t>
  </si>
  <si>
    <t xml:space="preserve">furrow  </t>
  </si>
  <si>
    <t xml:space="preserve">sprinkle </t>
  </si>
  <si>
    <t xml:space="preserve">drip </t>
  </si>
  <si>
    <t>K mg/l</t>
  </si>
  <si>
    <t>onion</t>
  </si>
  <si>
    <t>tomato</t>
  </si>
  <si>
    <t xml:space="preserve">carrot </t>
  </si>
  <si>
    <t xml:space="preserve">Radish </t>
  </si>
  <si>
    <t>pepper</t>
  </si>
  <si>
    <t xml:space="preserve"> ton/ha</t>
  </si>
  <si>
    <t>salt tolerance threshold</t>
  </si>
  <si>
    <t xml:space="preserve"> ETc m3/ha/year</t>
  </si>
  <si>
    <t>T4</t>
  </si>
  <si>
    <t>T5</t>
  </si>
  <si>
    <t>T6</t>
  </si>
  <si>
    <t>T7</t>
  </si>
  <si>
    <t>N</t>
  </si>
  <si>
    <t>P2O5</t>
  </si>
  <si>
    <t>K2O</t>
  </si>
  <si>
    <t>Composition e.g(10:10:10)</t>
  </si>
  <si>
    <t>Yield Goal</t>
  </si>
  <si>
    <t xml:space="preserve">Fertilizer </t>
  </si>
  <si>
    <t>Area</t>
  </si>
  <si>
    <t>Urea</t>
  </si>
  <si>
    <t>Urea-ammonium nitrate (UAN)</t>
  </si>
  <si>
    <t>Ammonium sulphate</t>
  </si>
  <si>
    <t xml:space="preserve">Ammonium nitrate </t>
  </si>
  <si>
    <t>Urea ammonium phosphate</t>
  </si>
  <si>
    <t>Potassium sulphate</t>
  </si>
  <si>
    <t>Potassium nitrate</t>
  </si>
  <si>
    <t>Monoammonium phosphate</t>
  </si>
  <si>
    <t>Diammonium phosphate</t>
  </si>
  <si>
    <t>Triple superphosphate</t>
  </si>
  <si>
    <t>Superphosphate</t>
  </si>
  <si>
    <t>N kg/ha</t>
  </si>
  <si>
    <t>P2O5 kg/ha</t>
  </si>
  <si>
    <t>K2O kg/ha</t>
  </si>
  <si>
    <t>nutrient from irrigated water</t>
  </si>
  <si>
    <t xml:space="preserve">wheat </t>
  </si>
  <si>
    <t>N  kg/ton</t>
  </si>
  <si>
    <t>P2O5 kg/ton</t>
  </si>
  <si>
    <t>K 2Okg/ton</t>
  </si>
  <si>
    <t>NO3-N + NH4-N mg/l</t>
  </si>
  <si>
    <t>P-PO4 mg/l</t>
  </si>
  <si>
    <t>lettuce and Green-Leaf Crops</t>
  </si>
  <si>
    <r>
      <t xml:space="preserve"> </t>
    </r>
    <r>
      <rPr>
        <b/>
        <sz val="10"/>
        <color theme="2" tint="-0.89999084444715716"/>
        <rFont val="Arial"/>
        <family val="2"/>
      </rPr>
      <t xml:space="preserve">(Kr) </t>
    </r>
  </si>
  <si>
    <t>reduction factor of ETc</t>
  </si>
  <si>
    <t>net irrigation requirement</t>
  </si>
  <si>
    <t>Total irrgation with leaching</t>
  </si>
  <si>
    <t xml:space="preserve"> maxEce ds/m   0% yield </t>
  </si>
  <si>
    <t xml:space="preserve">  minEce ds/m  100% yield                                       </t>
  </si>
  <si>
    <t>K kg/ha</t>
  </si>
  <si>
    <t>P kg/ha</t>
  </si>
  <si>
    <t xml:space="preserve">manures application </t>
  </si>
  <si>
    <t xml:space="preserve">P Fertilizer </t>
  </si>
  <si>
    <t>K fertilizer</t>
  </si>
  <si>
    <t>N fertilizer</t>
  </si>
  <si>
    <t>Ecb ds/m</t>
  </si>
  <si>
    <t xml:space="preserve">irrigation efficiency </t>
  </si>
  <si>
    <t xml:space="preserve"> irrigation water quality </t>
  </si>
  <si>
    <t>alfalfa*</t>
  </si>
  <si>
    <t>broad beans*</t>
  </si>
  <si>
    <r>
      <t>chemical fertiliser demand</t>
    </r>
    <r>
      <rPr>
        <b/>
        <sz val="10"/>
        <color rgb="FFFF0000"/>
        <rFont val="Arial"/>
        <family val="2"/>
      </rPr>
      <t>*</t>
    </r>
  </si>
  <si>
    <t xml:space="preserve"> &lt;--Yellow Boxes Are For Data Input</t>
  </si>
  <si>
    <t>Discount Rate (%)--&gt;</t>
  </si>
  <si>
    <t>Net Income can be profit or loss</t>
  </si>
  <si>
    <t>Present Value</t>
  </si>
  <si>
    <t>Net Present Value</t>
  </si>
  <si>
    <t>Year--&gt;</t>
  </si>
  <si>
    <t xml:space="preserve">NPV </t>
  </si>
  <si>
    <t>Project Life (30 yrs max)--&gt;</t>
  </si>
  <si>
    <t>recurring Costs:</t>
  </si>
  <si>
    <t>Benefits:</t>
  </si>
  <si>
    <t xml:space="preserve">yields </t>
  </si>
  <si>
    <t>BCR</t>
  </si>
  <si>
    <t xml:space="preserve">Total Benifits </t>
  </si>
  <si>
    <t xml:space="preserve">Discounted Costs </t>
  </si>
  <si>
    <t>Discounted Benfits</t>
  </si>
  <si>
    <t>Total Discounted Costs</t>
  </si>
  <si>
    <t>Total Discounted Benfits</t>
  </si>
  <si>
    <t xml:space="preserve">Benefits- Costs Ratio </t>
  </si>
  <si>
    <t xml:space="preserve">Total Recuring Costs </t>
  </si>
  <si>
    <t>chemical fertiliser</t>
  </si>
  <si>
    <t>Total Fixed Costs</t>
  </si>
  <si>
    <t>Total Recurring Costs</t>
  </si>
  <si>
    <t>water supply</t>
  </si>
  <si>
    <t>P kg/h</t>
  </si>
  <si>
    <t>K kg/h</t>
  </si>
  <si>
    <t>crops nutrient demand</t>
  </si>
  <si>
    <t>peas*</t>
  </si>
  <si>
    <t>nutrients uptake/removal by crops</t>
  </si>
  <si>
    <t>(%) available N in the first year</t>
  </si>
  <si>
    <t>(%) available P, K in the first year</t>
  </si>
  <si>
    <t>`</t>
  </si>
  <si>
    <t xml:space="preserve">type </t>
  </si>
  <si>
    <t xml:space="preserve">Availability of nutrients % </t>
  </si>
  <si>
    <t xml:space="preserve">N loss </t>
  </si>
  <si>
    <t>P,k loss</t>
  </si>
  <si>
    <t xml:space="preserve">P </t>
  </si>
  <si>
    <t xml:space="preserve">K </t>
  </si>
  <si>
    <t>Manures</t>
  </si>
  <si>
    <t xml:space="preserve"> Poultry</t>
  </si>
  <si>
    <t xml:space="preserve"> sheep</t>
  </si>
  <si>
    <t xml:space="preserve"> cattle</t>
  </si>
  <si>
    <t>nutrients contents %</t>
  </si>
  <si>
    <t>NO3-N+NH4-N mg/l</t>
  </si>
  <si>
    <t>PO4-P mg/l</t>
  </si>
  <si>
    <t>fall -winter season</t>
  </si>
  <si>
    <t>spring-summer</t>
  </si>
  <si>
    <t xml:space="preserve"> ETc m3/ha/season</t>
  </si>
  <si>
    <t>LR%</t>
  </si>
  <si>
    <t>crops</t>
  </si>
  <si>
    <t>Leaching requirment</t>
  </si>
  <si>
    <t>excessive N kg/ha</t>
  </si>
  <si>
    <t>excessive P kg/ha</t>
  </si>
  <si>
    <t>excessive k kg/ha</t>
  </si>
  <si>
    <t>chemical fertiliser demand N kg/ha</t>
  </si>
  <si>
    <t>chemical fertiliser demand P kg/ha</t>
  </si>
  <si>
    <t>chemical fertiliser demand K kg/ha</t>
  </si>
  <si>
    <t>Total demandN kg/ha</t>
  </si>
  <si>
    <t>Total demandK kg/ha</t>
  </si>
  <si>
    <t>Total demand P kg/ha</t>
  </si>
  <si>
    <t>potato</t>
  </si>
  <si>
    <t xml:space="preserve"> ETc m3/ha/season2</t>
  </si>
  <si>
    <t>Ece ds/m yield% 100</t>
  </si>
  <si>
    <t>cauliflower</t>
  </si>
  <si>
    <t>N kg/h</t>
  </si>
  <si>
    <t>spring -summer season (March -August)</t>
  </si>
  <si>
    <t>Water Demand</t>
  </si>
  <si>
    <t>quantity ton/ha</t>
  </si>
  <si>
    <t xml:space="preserve">nutrients available from soil </t>
  </si>
  <si>
    <t>fall- winter season (September-February)</t>
  </si>
  <si>
    <t xml:space="preserve">Annual crop </t>
  </si>
  <si>
    <t>ton/ha</t>
  </si>
  <si>
    <t xml:space="preserve"> ha</t>
  </si>
  <si>
    <t>chemical fertiliser requirement</t>
  </si>
  <si>
    <t>chemical fertiliser demand</t>
  </si>
  <si>
    <t>chemical fertiliser requirement ------&gt;</t>
  </si>
  <si>
    <t xml:space="preserve">Fertilisers costs </t>
  </si>
  <si>
    <t>N-  from irrigation water kg/ha</t>
  </si>
  <si>
    <t>P-PO4 from irrigation water kg/ha</t>
  </si>
  <si>
    <t>K from irrigation water kg/ha</t>
  </si>
  <si>
    <t>WD m3/ha</t>
  </si>
  <si>
    <t>IR m3/ha</t>
  </si>
  <si>
    <t>TR m3/ha</t>
  </si>
  <si>
    <t>Annual irrgation demand m3 -------&gt;</t>
  </si>
  <si>
    <t>LR&lt;25%</t>
  </si>
  <si>
    <t>-</t>
  </si>
  <si>
    <t xml:space="preserve">total irrigation demend </t>
  </si>
  <si>
    <t xml:space="preserve">crops </t>
  </si>
  <si>
    <t xml:space="preserve">N fertiliser demand </t>
  </si>
  <si>
    <t xml:space="preserve">P fertiliser demand </t>
  </si>
  <si>
    <t xml:space="preserve">K fertiliser demand </t>
  </si>
  <si>
    <t xml:space="preserve"> chemical fertiliser Demand</t>
  </si>
  <si>
    <t>GW</t>
  </si>
  <si>
    <t>MMR</t>
  </si>
  <si>
    <t xml:space="preserve">unite </t>
  </si>
  <si>
    <t>litter(oil)/ha</t>
  </si>
  <si>
    <t>unit</t>
  </si>
  <si>
    <t xml:space="preserve">yield </t>
  </si>
  <si>
    <t xml:space="preserve">ton(grain/hectare </t>
  </si>
  <si>
    <t xml:space="preserve">Q </t>
  </si>
  <si>
    <t>US$/ton</t>
  </si>
  <si>
    <t>US$/litter oil</t>
  </si>
  <si>
    <t>Ton</t>
  </si>
  <si>
    <t xml:space="preserve"> US$/YEAR</t>
  </si>
  <si>
    <t>K2O Ton/year</t>
  </si>
  <si>
    <t>P2O5 Ton/year</t>
  </si>
  <si>
    <t>N Ton/year</t>
  </si>
  <si>
    <t>costs US$/year</t>
  </si>
  <si>
    <t xml:space="preserve">Total </t>
  </si>
  <si>
    <t>Yeild</t>
  </si>
  <si>
    <t>IR m3/year</t>
  </si>
  <si>
    <t>Total Annual Demand-----&gt;</t>
  </si>
  <si>
    <t xml:space="preserve"> crops</t>
  </si>
  <si>
    <t>irrigation method</t>
  </si>
  <si>
    <t xml:space="preserve">irrigation water volume </t>
  </si>
  <si>
    <t>m3/y</t>
  </si>
  <si>
    <t>Area (ha)</t>
  </si>
  <si>
    <t>Costs of Fertiliser</t>
  </si>
  <si>
    <t>Net Present Value ----&gt;</t>
  </si>
  <si>
    <t>Benefits/Costs Ratio---&gt;</t>
  </si>
  <si>
    <t xml:space="preserve">spring-summer season </t>
  </si>
  <si>
    <t>ha</t>
  </si>
  <si>
    <t xml:space="preserve">Area </t>
  </si>
  <si>
    <t>kg/ha</t>
  </si>
  <si>
    <t xml:space="preserve">Total demand K </t>
  </si>
  <si>
    <t xml:space="preserve">Total demand P </t>
  </si>
  <si>
    <t xml:space="preserve">Total demand N </t>
  </si>
  <si>
    <t>ton-hay/ha</t>
  </si>
  <si>
    <t xml:space="preserve"> Value of Freash Water </t>
  </si>
  <si>
    <t xml:space="preserve">irrigation method </t>
  </si>
  <si>
    <t>million m3/year</t>
  </si>
  <si>
    <t xml:space="preserve"> crop </t>
  </si>
  <si>
    <t xml:space="preserve">  Total O&amp;M Costs </t>
  </si>
  <si>
    <t>local wells</t>
  </si>
  <si>
    <t>Man made River supply</t>
  </si>
  <si>
    <t>marginal cost  from second stage of MMR</t>
  </si>
  <si>
    <t>Transport pipeline and concert tank for break pressure andInternal distribution Network to farm gate</t>
  </si>
  <si>
    <t>Irrigation water supply options</t>
  </si>
  <si>
    <t>Capital costs</t>
  </si>
  <si>
    <t xml:space="preserve">Total fertiliser costs -----&gt;  </t>
  </si>
  <si>
    <t>treatment plant (Conventional activated sludge+ disinfection)</t>
  </si>
  <si>
    <t>irrigation Water supply</t>
  </si>
  <si>
    <t>yield 2</t>
  </si>
  <si>
    <t>unite 3</t>
  </si>
  <si>
    <t>price US$</t>
  </si>
  <si>
    <t xml:space="preserve">price </t>
  </si>
  <si>
    <t>unit4</t>
  </si>
  <si>
    <t>on site( Three-tank system )</t>
  </si>
  <si>
    <t>on site(Three-tank system +sand Filter)</t>
  </si>
  <si>
    <t>wastwater collection(sewerage network)</t>
  </si>
  <si>
    <t xml:space="preserve">new treatment plants </t>
  </si>
  <si>
    <t xml:space="preserve">  discriptions </t>
  </si>
  <si>
    <t>years---&gt;</t>
  </si>
  <si>
    <t xml:space="preserve">value of fresh water </t>
  </si>
  <si>
    <t>years----&gt;</t>
  </si>
  <si>
    <t>&lt;--Total yeild    US$/Year</t>
  </si>
  <si>
    <t>Activated sludge+ Biological Nitrogen Removal (MLE)+ disinfection</t>
  </si>
  <si>
    <t>wastewater storage</t>
  </si>
  <si>
    <t>(Unrestricted Irrigation)</t>
  </si>
  <si>
    <t xml:space="preserve">(Restricted Irrigation) </t>
  </si>
  <si>
    <t xml:space="preserve">treatment + drip irrigation </t>
  </si>
  <si>
    <t xml:space="preserve">treatment +crop restriction </t>
  </si>
  <si>
    <t>Disease Risk pppy</t>
  </si>
  <si>
    <t>Norovirus</t>
  </si>
  <si>
    <t>Ascaris</t>
  </si>
  <si>
    <t>Disease incidence (cases per year)</t>
  </si>
  <si>
    <t xml:space="preserve">TOTAL </t>
  </si>
  <si>
    <t xml:space="preserve">Reduction </t>
  </si>
  <si>
    <t>DALYs (cases per year)</t>
  </si>
  <si>
    <t>cost of health impacts</t>
  </si>
  <si>
    <t>DALY losses per case of disease</t>
  </si>
  <si>
    <t>ascaris</t>
  </si>
  <si>
    <t xml:space="preserve">raw wastewater </t>
  </si>
  <si>
    <t>treatment plant  (WSP)</t>
  </si>
  <si>
    <t>Median  infection risk pppy</t>
  </si>
  <si>
    <t>Disease/Infection Ratio</t>
  </si>
  <si>
    <t>life cycle costs results</t>
  </si>
  <si>
    <t xml:space="preserve"> &lt;--Yellow Boxes Are For variables</t>
  </si>
  <si>
    <t>Unrestricted Irrigation</t>
  </si>
  <si>
    <t xml:space="preserve">conventional activated sludge </t>
  </si>
  <si>
    <t xml:space="preserve">population growth rate </t>
  </si>
  <si>
    <t xml:space="preserve">General Information </t>
  </si>
  <si>
    <t>mim annual wage US$</t>
  </si>
  <si>
    <t xml:space="preserve">population </t>
  </si>
  <si>
    <t xml:space="preserve">wastewater per capital </t>
  </si>
  <si>
    <t>farms worker population</t>
  </si>
  <si>
    <t xml:space="preserve">on-site facilities </t>
  </si>
  <si>
    <t xml:space="preserve">Elements </t>
  </si>
  <si>
    <t>House size (persons)</t>
  </si>
  <si>
    <t>persons</t>
  </si>
  <si>
    <t xml:space="preserve">Septic tank </t>
  </si>
  <si>
    <t xml:space="preserve">Liter </t>
  </si>
  <si>
    <t xml:space="preserve">Storage tank </t>
  </si>
  <si>
    <t>24,00</t>
  </si>
  <si>
    <t xml:space="preserve">Cost of installation </t>
  </si>
  <si>
    <t>US$</t>
  </si>
  <si>
    <t xml:space="preserve">Emptying </t>
  </si>
  <si>
    <t xml:space="preserve">Element </t>
  </si>
  <si>
    <t xml:space="preserve">Unite </t>
  </si>
  <si>
    <t xml:space="preserve">Rate </t>
  </si>
  <si>
    <t>Skilled Labor</t>
  </si>
  <si>
    <t>US$/month</t>
  </si>
  <si>
    <t>Working hours (2 shift)</t>
  </si>
  <si>
    <t>hours</t>
  </si>
  <si>
    <t xml:space="preserve"> Working days per week </t>
  </si>
  <si>
    <t>Day</t>
  </si>
  <si>
    <t>Fuel costs</t>
  </si>
  <si>
    <t xml:space="preserve"> US$/Liter</t>
  </si>
  <si>
    <r>
      <t xml:space="preserve">Average Distance </t>
    </r>
    <r>
      <rPr>
        <i/>
        <sz val="11"/>
        <color theme="1"/>
        <rFont val="Times New Roman"/>
        <family val="1"/>
      </rPr>
      <t>between households and potential treatment sites</t>
    </r>
  </si>
  <si>
    <t>km</t>
  </si>
  <si>
    <t xml:space="preserve">Travel speed </t>
  </si>
  <si>
    <t>Km/hour</t>
  </si>
  <si>
    <t>Loading/Emptying Time</t>
  </si>
  <si>
    <t xml:space="preserve">Mints </t>
  </si>
  <si>
    <t xml:space="preserve">Size of truck </t>
  </si>
  <si>
    <t xml:space="preserve">Capital cost of truck </t>
  </si>
  <si>
    <t>Capital maintenance/ replacement period</t>
  </si>
  <si>
    <t>years</t>
  </si>
  <si>
    <t xml:space="preserve">Capital maintenance cost </t>
  </si>
  <si>
    <t>% capital costs</t>
  </si>
  <si>
    <t xml:space="preserve">Operational wear and tear </t>
  </si>
  <si>
    <t xml:space="preserve">Fuel consumption  </t>
  </si>
  <si>
    <t>Liter/km</t>
  </si>
  <si>
    <t>Totla house</t>
  </si>
  <si>
    <t xml:space="preserve">house per truck </t>
  </si>
  <si>
    <t>number of truck</t>
  </si>
  <si>
    <t>labour</t>
  </si>
  <si>
    <t>wastewater volume m3</t>
  </si>
  <si>
    <t>truck</t>
  </si>
  <si>
    <t>fuel</t>
  </si>
  <si>
    <t xml:space="preserve">capital costs </t>
  </si>
  <si>
    <t>T8</t>
  </si>
  <si>
    <t>on-site facilities</t>
  </si>
  <si>
    <t>new treatment plants (WSP)</t>
  </si>
  <si>
    <t>marginal cost of Water supply from man-made river</t>
  </si>
  <si>
    <t xml:space="preserve">elements </t>
  </si>
  <si>
    <t xml:space="preserve"> US$/year</t>
  </si>
  <si>
    <t xml:space="preserve">fertliser price </t>
  </si>
  <si>
    <t xml:space="preserve">dicounted crop yeild </t>
  </si>
  <si>
    <t>dicounted fresh water value</t>
  </si>
  <si>
    <t>discounted O&amp;M cost</t>
  </si>
  <si>
    <t>Discounted fertliser cost</t>
  </si>
  <si>
    <t>discounted cost of health impact</t>
  </si>
  <si>
    <t xml:space="preserve">internal return rate </t>
  </si>
  <si>
    <t>wastewater storage and convey</t>
  </si>
  <si>
    <t>Activated sludge+ Ultrfiltration+ reverse osmosis</t>
  </si>
  <si>
    <t>Ultrfiltration+ reverse osmosis</t>
  </si>
  <si>
    <t>$47,427,593.43</t>
  </si>
  <si>
    <t>year</t>
  </si>
  <si>
    <t>O&amp;M costs</t>
  </si>
  <si>
    <t>internal return rate ----&gt;</t>
  </si>
  <si>
    <t xml:space="preserve">discounted costs </t>
  </si>
  <si>
    <t xml:space="preserve">Discounted benefits </t>
  </si>
  <si>
    <t xml:space="preserve">total area </t>
  </si>
  <si>
    <t>yield</t>
  </si>
  <si>
    <t>cubic m /year</t>
  </si>
  <si>
    <t xml:space="preserve">fertliser costs estimates </t>
  </si>
  <si>
    <t>capital and oprating costs estimate</t>
  </si>
  <si>
    <t>septic tank+   (WSP)</t>
  </si>
  <si>
    <t xml:space="preserve">crops yeild estimates </t>
  </si>
  <si>
    <t xml:space="preserve">select season </t>
  </si>
  <si>
    <t xml:space="preserve"> irrigation water supply</t>
  </si>
  <si>
    <t>select water supply</t>
  </si>
  <si>
    <t xml:space="preserve">select blending percentage </t>
  </si>
  <si>
    <t>select Max leaching LR %</t>
  </si>
  <si>
    <t>select Discount Rate (%)--&gt;</t>
  </si>
  <si>
    <t>select Project Life (30 yrs max)--&gt;</t>
  </si>
  <si>
    <t>select Wastewater Reuse Type</t>
  </si>
  <si>
    <t>select Yield %</t>
  </si>
  <si>
    <t xml:space="preserve">select irrigation method </t>
  </si>
  <si>
    <t xml:space="preserve">Affected Population </t>
  </si>
  <si>
    <t xml:space="preserve">Restricted irrigation </t>
  </si>
  <si>
    <t xml:space="preserve">Health Risk assessment </t>
  </si>
  <si>
    <t xml:space="preserve">Enviromental Risk Assessment </t>
  </si>
  <si>
    <t>Costs and Benefits Analysis</t>
  </si>
  <si>
    <t>season per year</t>
  </si>
  <si>
    <t xml:space="preserve">Capital costs </t>
  </si>
  <si>
    <t xml:space="preserve">select Portion of Area %  </t>
  </si>
  <si>
    <t xml:space="preserve"> O&amp;M cost</t>
  </si>
  <si>
    <t>fertliser cost</t>
  </si>
  <si>
    <t>cost of health impact</t>
  </si>
  <si>
    <t xml:space="preserve"> crop yeild </t>
  </si>
  <si>
    <t xml:space="preserve"> fresh water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</si>
</sst>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quot;£&quot;* #,##0.00_-;_-&quot;£&quot;* &quot;-&quot;??_-;_-@_-"/>
    <numFmt numFmtId="164" formatCode="0.0"/>
    <numFmt numFmtId="165" formatCode="&quot;$&quot;#,##0"/>
    <numFmt numFmtId="166" formatCode="#,##0.0000"/>
    <numFmt numFmtId="167" formatCode="_(* #,##0.00_);_(* \(#,##0.00\);_(* \-??_);_(@_)"/>
    <numFmt numFmtId="168" formatCode="_(\$* #,##0.00_);_(\$* \(#,##0.00\);_(\$* \-??_);_(@_)"/>
    <numFmt numFmtId="169" formatCode="_(* #,##0_);_(* \(#,##0\);_(* \-_);_(@_)"/>
    <numFmt numFmtId="170" formatCode="[$$-409]#,##0.00"/>
    <numFmt numFmtId="171" formatCode="#,##0.000"/>
    <numFmt numFmtId="172" formatCode="0.000%"/>
    <numFmt numFmtId="173" formatCode="0.0000"/>
    <numFmt numFmtId="174" formatCode="0.000E+00"/>
    <numFmt numFmtId="175" formatCode="0.0%"/>
    <numFmt numFmtId="176" formatCode="0.00000000%"/>
    <numFmt numFmtId="177" formatCode="&quot;$&quot;#,##0.0"/>
    <numFmt numFmtId="178" formatCode="&quot;$&quot;#,##0.00"/>
    <numFmt numFmtId="179" formatCode="#,##0.000000"/>
  </numFmts>
  <fonts count="89"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rgb="FF006100"/>
      <name val="Arial"/>
      <family val="2"/>
    </font>
    <font>
      <sz val="10"/>
      <color rgb="FF9C0006"/>
      <name val="Arial"/>
      <family val="2"/>
    </font>
    <font>
      <b/>
      <sz val="10"/>
      <color theme="1"/>
      <name val="Arial"/>
      <family val="2"/>
    </font>
    <font>
      <sz val="10"/>
      <color theme="0"/>
      <name val="Arial"/>
      <family val="2"/>
    </font>
    <font>
      <b/>
      <sz val="12"/>
      <color theme="1"/>
      <name val="Arial"/>
      <family val="2"/>
    </font>
    <font>
      <b/>
      <sz val="10"/>
      <color rgb="FF006100"/>
      <name val="Arial"/>
      <family val="2"/>
    </font>
    <font>
      <sz val="10"/>
      <name val="Arial"/>
      <family val="2"/>
    </font>
    <font>
      <b/>
      <sz val="9"/>
      <color theme="1"/>
      <name val="Arial"/>
      <family val="2"/>
    </font>
    <font>
      <b/>
      <sz val="10"/>
      <color theme="2" tint="-0.89999084444715716"/>
      <name val="Arial"/>
      <family val="2"/>
    </font>
    <font>
      <b/>
      <sz val="10"/>
      <color rgb="FF9C0006"/>
      <name val="Arial"/>
      <family val="2"/>
    </font>
    <font>
      <b/>
      <sz val="10"/>
      <color theme="3" tint="-0.499984740745262"/>
      <name val="Arial"/>
      <family val="2"/>
    </font>
    <font>
      <b/>
      <sz val="10"/>
      <name val="Arial"/>
      <family val="2"/>
    </font>
    <font>
      <b/>
      <sz val="10"/>
      <color theme="0"/>
      <name val="Arial"/>
      <family val="2"/>
    </font>
    <font>
      <b/>
      <sz val="11"/>
      <color theme="1"/>
      <name val="Arial"/>
      <family val="2"/>
    </font>
    <font>
      <b/>
      <sz val="10"/>
      <color rgb="FFFF0000"/>
      <name val="Arial"/>
      <family val="2"/>
    </font>
    <font>
      <b/>
      <sz val="11"/>
      <name val="Arial Narrow"/>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font>
    <font>
      <b/>
      <sz val="11"/>
      <color rgb="FFC00000"/>
      <name val="Arial"/>
      <family val="2"/>
    </font>
    <font>
      <sz val="12"/>
      <color theme="1"/>
      <name val="Arial"/>
      <family val="2"/>
    </font>
    <font>
      <b/>
      <sz val="16"/>
      <color rgb="FF006100"/>
      <name val="Arial"/>
      <family val="2"/>
    </font>
    <font>
      <sz val="8"/>
      <color theme="1"/>
      <name val="Arial"/>
      <family val="2"/>
    </font>
    <font>
      <sz val="8"/>
      <name val="Arial"/>
      <family val="2"/>
    </font>
    <font>
      <b/>
      <sz val="8"/>
      <color indexed="48"/>
      <name val="Arial"/>
      <family val="2"/>
    </font>
    <font>
      <b/>
      <sz val="8"/>
      <name val="Arial"/>
      <family val="2"/>
    </font>
    <font>
      <b/>
      <sz val="8"/>
      <color indexed="10"/>
      <name val="Arial"/>
      <family val="2"/>
    </font>
    <font>
      <sz val="9"/>
      <color theme="1"/>
      <name val="Arial"/>
      <family val="2"/>
    </font>
    <font>
      <b/>
      <sz val="9"/>
      <color indexed="10"/>
      <name val="Arial"/>
      <family val="2"/>
    </font>
    <font>
      <b/>
      <sz val="9"/>
      <name val="Arial Narrow"/>
      <family val="2"/>
    </font>
    <font>
      <b/>
      <sz val="9"/>
      <color rgb="FFFF0000"/>
      <name val="Arial"/>
      <family val="2"/>
    </font>
    <font>
      <b/>
      <sz val="11"/>
      <color rgb="FF006100"/>
      <name val="Arial"/>
      <family val="2"/>
    </font>
    <font>
      <b/>
      <sz val="14"/>
      <color rgb="FF006100"/>
      <name val="Arial"/>
      <family val="2"/>
    </font>
    <font>
      <b/>
      <sz val="10"/>
      <color rgb="FFC00000"/>
      <name val="Arial"/>
      <family val="2"/>
    </font>
    <font>
      <b/>
      <i/>
      <sz val="10"/>
      <name val="Arial"/>
      <family val="2"/>
    </font>
    <font>
      <b/>
      <sz val="9"/>
      <name val="Arial"/>
      <family val="2"/>
    </font>
    <font>
      <b/>
      <sz val="10"/>
      <color theme="6" tint="-0.249977111117893"/>
      <name val="Arial"/>
      <family val="2"/>
    </font>
    <font>
      <sz val="9"/>
      <color indexed="62"/>
      <name val="Calibri"/>
      <family val="2"/>
    </font>
    <font>
      <b/>
      <sz val="11"/>
      <name val="Arial"/>
      <family val="2"/>
    </font>
    <font>
      <sz val="11"/>
      <name val="Calibri"/>
      <family val="2"/>
    </font>
    <font>
      <b/>
      <sz val="14"/>
      <color theme="1"/>
      <name val="Calibri"/>
      <family val="2"/>
      <scheme val="minor"/>
    </font>
    <font>
      <sz val="11"/>
      <color rgb="FF000000"/>
      <name val="Times New Roman"/>
      <family val="1"/>
    </font>
    <font>
      <b/>
      <sz val="10"/>
      <color rgb="FF000000"/>
      <name val="Times New Roman"/>
      <family val="1"/>
    </font>
    <font>
      <sz val="10"/>
      <color rgb="FF000000"/>
      <name val="Times New Roman"/>
      <family val="1"/>
    </font>
    <font>
      <sz val="9"/>
      <color rgb="FF000000"/>
      <name val="Times New Roman"/>
      <family val="1"/>
    </font>
    <font>
      <b/>
      <sz val="10"/>
      <color theme="1"/>
      <name val="Times New Roman"/>
      <family val="1"/>
    </font>
    <font>
      <b/>
      <sz val="12"/>
      <color rgb="FF000000"/>
      <name val="Times New Roman"/>
      <family val="1"/>
    </font>
    <font>
      <sz val="10"/>
      <name val="Calibri"/>
      <family val="2"/>
    </font>
    <font>
      <b/>
      <sz val="8"/>
      <color rgb="FF000000"/>
      <name val="Times New Roman"/>
      <family val="1"/>
    </font>
    <font>
      <sz val="8"/>
      <color rgb="FF000000"/>
      <name val="Times New Roman"/>
      <family val="1"/>
    </font>
    <font>
      <b/>
      <sz val="11"/>
      <color theme="1"/>
      <name val="Calibri"/>
      <family val="2"/>
      <scheme val="minor"/>
    </font>
    <font>
      <b/>
      <sz val="16"/>
      <color theme="1"/>
      <name val="Arial"/>
      <family val="2"/>
    </font>
    <font>
      <b/>
      <sz val="11"/>
      <color theme="1"/>
      <name val="Times New Roman"/>
      <family val="1"/>
    </font>
    <font>
      <sz val="11"/>
      <color theme="1"/>
      <name val="Times New Roman"/>
      <family val="1"/>
    </font>
    <font>
      <i/>
      <sz val="11"/>
      <color theme="1"/>
      <name val="Times New Roman"/>
      <family val="1"/>
    </font>
    <font>
      <sz val="10"/>
      <color theme="1"/>
      <name val="Times New Roman"/>
      <family val="1"/>
    </font>
    <font>
      <sz val="11"/>
      <color indexed="62"/>
      <name val="Times New Roman"/>
      <family val="1"/>
    </font>
    <font>
      <sz val="10"/>
      <name val="Times New Roman"/>
      <family val="1"/>
    </font>
    <font>
      <b/>
      <sz val="10"/>
      <name val="Times New Roman"/>
      <family val="1"/>
    </font>
    <font>
      <b/>
      <sz val="12"/>
      <color theme="1"/>
      <name val="Times New Roman"/>
      <family val="1"/>
    </font>
    <font>
      <sz val="12"/>
      <color theme="1"/>
      <name val="Times New Roman"/>
      <family val="1"/>
    </font>
    <font>
      <sz val="11"/>
      <name val="Times New Roman"/>
      <family val="1"/>
    </font>
    <font>
      <sz val="12"/>
      <color indexed="62"/>
      <name val="Times New Roman"/>
      <family val="1"/>
    </font>
    <font>
      <sz val="11"/>
      <color theme="1"/>
      <name val="Arial"/>
      <family val="2"/>
    </font>
    <font>
      <sz val="9"/>
      <color indexed="81"/>
      <name val="Tahoma"/>
      <family val="2"/>
    </font>
    <font>
      <b/>
      <sz val="9"/>
      <color indexed="81"/>
      <name val="Tahoma"/>
      <family val="2"/>
    </font>
    <font>
      <b/>
      <sz val="14"/>
      <name val="Times New Roman"/>
      <family val="1"/>
    </font>
    <font>
      <b/>
      <sz val="14"/>
      <color theme="1"/>
      <name val="Times New Roman"/>
      <family val="1"/>
    </font>
  </fonts>
  <fills count="92">
    <fill>
      <patternFill patternType="none"/>
    </fill>
    <fill>
      <patternFill patternType="gray125"/>
    </fill>
    <fill>
      <patternFill patternType="solid">
        <fgColor rgb="FFC6EFCE"/>
      </patternFill>
    </fill>
    <fill>
      <patternFill patternType="solid">
        <fgColor rgb="FFFFC7CE"/>
      </patternFill>
    </fill>
    <fill>
      <patternFill patternType="solid">
        <fgColor theme="6" tint="0.79998168889431442"/>
        <bgColor indexed="65"/>
      </patternFill>
    </fill>
    <fill>
      <patternFill patternType="solid">
        <fgColor rgb="FFFFFF00"/>
        <bgColor indexed="64"/>
      </patternFill>
    </fill>
    <fill>
      <patternFill patternType="solid">
        <fgColor theme="5" tint="0.59996337778862885"/>
        <bgColor indexed="64"/>
      </patternFill>
    </fill>
    <fill>
      <gradientFill degree="90">
        <stop position="0">
          <color theme="0"/>
        </stop>
        <stop position="1">
          <color theme="4"/>
        </stop>
      </gradientFill>
    </fill>
    <fill>
      <patternFill patternType="solid">
        <fgColor theme="8" tint="0.79998168889431442"/>
        <bgColor indexed="64"/>
      </patternFill>
    </fill>
    <fill>
      <patternFill patternType="solid">
        <fgColor theme="8" tint="0.39997558519241921"/>
        <bgColor indexed="64"/>
      </patternFill>
    </fill>
    <fill>
      <patternFill patternType="solid">
        <fgColor theme="6" tint="0.599963377788628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9FF99"/>
        <bgColor indexed="64"/>
      </patternFill>
    </fill>
    <fill>
      <patternFill patternType="solid">
        <fgColor theme="5" tint="0.59999389629810485"/>
        <bgColor indexed="64"/>
      </patternFill>
    </fill>
    <fill>
      <patternFill patternType="solid">
        <fgColor theme="5" tint="0.59999389629810485"/>
        <bgColor indexed="65"/>
      </patternFill>
    </fill>
    <fill>
      <patternFill patternType="solid">
        <fgColor theme="4" tint="0.79998168889431442"/>
        <bgColor theme="4" tint="0.79998168889431442"/>
      </patternFill>
    </fill>
    <fill>
      <patternFill patternType="solid">
        <fgColor rgb="FF99FF33"/>
        <bgColor indexed="64"/>
      </patternFill>
    </fill>
    <fill>
      <patternFill patternType="solid">
        <fgColor theme="7" tint="0.79998168889431442"/>
        <bgColor theme="7" tint="0.79998168889431442"/>
      </patternFill>
    </fill>
    <fill>
      <patternFill patternType="solid">
        <fgColor theme="7" tint="0.79998168889431442"/>
        <bgColor indexed="64"/>
      </patternFill>
    </fill>
    <fill>
      <patternFill patternType="solid">
        <fgColor theme="9" tint="0.59999389629810485"/>
        <bgColor indexed="64"/>
      </patternFill>
    </fill>
    <fill>
      <patternFill patternType="solid">
        <fgColor theme="2" tint="-9.9978637043366805E-2"/>
        <bgColor theme="0" tint="-0.14999847407452621"/>
      </patternFill>
    </fill>
    <fill>
      <patternFill patternType="solid">
        <fgColor theme="2" tint="-0.249977111117893"/>
        <bgColor theme="1"/>
      </patternFill>
    </fill>
    <fill>
      <patternFill patternType="solid">
        <fgColor theme="0" tint="-0.249977111117893"/>
        <bgColor theme="1"/>
      </patternFill>
    </fill>
    <fill>
      <patternFill patternType="solid">
        <fgColor theme="8" tint="0.59999389629810485"/>
        <bgColor theme="1"/>
      </patternFill>
    </fill>
    <fill>
      <patternFill patternType="solid">
        <fgColor theme="9" tint="0.79998168889431442"/>
        <bgColor theme="9" tint="0.79998168889431442"/>
      </patternFill>
    </fill>
    <fill>
      <patternFill patternType="solid">
        <fgColor rgb="FFFFFF99"/>
        <bgColor indexed="64"/>
      </patternFill>
    </fill>
    <fill>
      <patternFill patternType="solid">
        <fgColor theme="5" tint="0.39997558519241921"/>
        <bgColor indexed="64"/>
      </patternFill>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lightGray">
        <bgColor rgb="FFFFFF99"/>
      </patternFill>
    </fill>
    <fill>
      <patternFill patternType="lightGray">
        <bgColor rgb="FFC6EFCE"/>
      </patternFill>
    </fill>
    <fill>
      <patternFill patternType="solid">
        <fgColor theme="0" tint="-4.9989318521683403E-2"/>
        <bgColor indexed="64"/>
      </patternFill>
    </fill>
    <fill>
      <patternFill patternType="lightGray">
        <bgColor theme="6" tint="0.79998168889431442"/>
      </patternFill>
    </fill>
    <fill>
      <patternFill patternType="solid">
        <fgColor theme="8" tint="-0.249977111117893"/>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6" tint="0.39997558519241921"/>
        <bgColor indexed="64"/>
      </patternFill>
    </fill>
    <fill>
      <patternFill patternType="solid">
        <fgColor rgb="FFFFFF9F"/>
        <bgColor indexed="64"/>
      </patternFill>
    </fill>
    <fill>
      <patternFill patternType="solid">
        <fgColor rgb="FFFFFF99"/>
        <bgColor theme="0" tint="-0.14999847407452621"/>
      </patternFill>
    </fill>
    <fill>
      <patternFill patternType="solid">
        <fgColor theme="3" tint="0.59999389629810485"/>
        <bgColor indexed="64"/>
      </patternFill>
    </fill>
    <fill>
      <patternFill patternType="solid">
        <fgColor theme="9" tint="0.59999389629810485"/>
        <bgColor indexed="65"/>
      </patternFill>
    </fill>
    <fill>
      <patternFill patternType="solid">
        <fgColor rgb="FF91A7AC"/>
        <bgColor rgb="FF000000"/>
      </patternFill>
    </fill>
    <fill>
      <patternFill patternType="solid">
        <fgColor rgb="FFBFBFBF"/>
        <bgColor rgb="FF000000"/>
      </patternFill>
    </fill>
    <fill>
      <patternFill patternType="solid">
        <fgColor rgb="FFE7DED1"/>
        <bgColor rgb="FF000000"/>
      </patternFill>
    </fill>
    <fill>
      <patternFill patternType="solid">
        <fgColor rgb="FFFFFF99"/>
        <bgColor indexed="31"/>
      </patternFill>
    </fill>
    <fill>
      <patternFill patternType="solid">
        <fgColor theme="7" tint="0.79998168889431442"/>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6" tint="0.79998168889431442"/>
        <bgColor theme="4" tint="0.79998168889431442"/>
      </patternFill>
    </fill>
    <fill>
      <patternFill patternType="solid">
        <fgColor theme="4"/>
        <bgColor theme="4"/>
      </patternFill>
    </fill>
    <fill>
      <patternFill patternType="solid">
        <fgColor rgb="FFFFC000"/>
        <bgColor indexed="64"/>
      </patternFill>
    </fill>
    <fill>
      <patternFill patternType="solid">
        <fgColor rgb="FFF9E7C7"/>
        <bgColor indexed="64"/>
      </patternFill>
    </fill>
    <fill>
      <patternFill patternType="solid">
        <fgColor rgb="FFFFFFCC"/>
        <bgColor indexed="64"/>
      </patternFill>
    </fill>
    <fill>
      <patternFill patternType="solid">
        <fgColor rgb="FFFFFFCC"/>
        <bgColor theme="8" tint="0.79998168889431442"/>
      </patternFill>
    </fill>
    <fill>
      <patternFill patternType="solid">
        <fgColor theme="0" tint="-4.9989318521683403E-2"/>
        <bgColor indexed="22"/>
      </patternFill>
    </fill>
    <fill>
      <patternFill patternType="lightGray">
        <fgColor indexed="22"/>
        <bgColor indexed="47"/>
      </patternFill>
    </fill>
    <fill>
      <patternFill patternType="solid">
        <fgColor theme="5" tint="0.79998168889431442"/>
        <bgColor indexed="22"/>
      </patternFill>
    </fill>
    <fill>
      <patternFill patternType="solid">
        <fgColor rgb="FFFFFF99"/>
        <bgColor theme="4" tint="0.79998168889431442"/>
      </patternFill>
    </fill>
    <fill>
      <patternFill patternType="solid">
        <fgColor rgb="FFFFFF99"/>
        <bgColor theme="5" tint="0.79998168889431442"/>
      </patternFill>
    </fill>
    <fill>
      <patternFill patternType="solid">
        <fgColor rgb="FFFFFFCC"/>
        <bgColor rgb="FF000000"/>
      </patternFill>
    </fill>
    <fill>
      <patternFill patternType="solid">
        <fgColor rgb="FFFFFF99"/>
        <bgColor theme="6" tint="0.79998168889431442"/>
      </patternFill>
    </fill>
    <fill>
      <patternFill patternType="solid">
        <fgColor rgb="FFFFFF99"/>
        <bgColor indexed="22"/>
      </patternFill>
    </fill>
    <fill>
      <patternFill patternType="solid">
        <fgColor rgb="FFFFFF99"/>
        <bgColor indexed="9"/>
      </patternFill>
    </fill>
    <fill>
      <patternFill patternType="solid">
        <fgColor rgb="FFFFFF99"/>
        <bgColor rgb="FFFFFFFF"/>
      </patternFill>
    </fill>
    <fill>
      <patternFill patternType="solid">
        <fgColor theme="0" tint="-0.14999847407452621"/>
        <bgColor indexed="64"/>
      </patternFill>
    </fill>
    <fill>
      <patternFill patternType="lightGray">
        <fgColor indexed="22"/>
        <bgColor rgb="FFFFFF99"/>
      </patternFill>
    </fill>
    <fill>
      <patternFill patternType="solid">
        <fgColor theme="0" tint="-4.9989318521683403E-2"/>
        <bgColor theme="4" tint="0.79998168889431442"/>
      </patternFill>
    </fill>
  </fills>
  <borders count="111">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7" tint="0.39997558519241921"/>
      </top>
      <bottom style="thin">
        <color theme="7"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top/>
      <bottom style="thin">
        <color theme="4" tint="0.39997558519241921"/>
      </bottom>
      <diagonal/>
    </border>
    <border>
      <left style="thin">
        <color theme="4" tint="0.39997558519241921"/>
      </left>
      <right/>
      <top/>
      <bottom style="thin">
        <color theme="4" tint="0.39997558519241921"/>
      </bottom>
      <diagonal/>
    </border>
    <border>
      <left style="thin">
        <color theme="7" tint="0.39997558519241921"/>
      </left>
      <right/>
      <top style="thin">
        <color theme="7" tint="0.39997558519241921"/>
      </top>
      <bottom/>
      <diagonal/>
    </border>
    <border>
      <left/>
      <right/>
      <top style="thin">
        <color theme="7" tint="0.39997558519241921"/>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right/>
      <top style="thin">
        <color theme="0" tint="-0.14996795556505021"/>
      </top>
      <bottom style="thin">
        <color theme="0" tint="-0.14993743705557422"/>
      </bottom>
      <diagonal/>
    </border>
    <border>
      <left/>
      <right/>
      <top style="thin">
        <color theme="0" tint="-0.14993743705557422"/>
      </top>
      <bottom style="thin">
        <color theme="0" tint="-0.14993743705557422"/>
      </bottom>
      <diagonal/>
    </border>
    <border>
      <left/>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right style="thin">
        <color theme="4" tint="0.39997558519241921"/>
      </right>
      <top/>
      <bottom style="thin">
        <color theme="4" tint="0.39997558519241921"/>
      </bottom>
      <diagonal/>
    </border>
    <border>
      <left style="thin">
        <color theme="0" tint="-0.14996795556505021"/>
      </left>
      <right/>
      <top/>
      <bottom/>
      <diagonal/>
    </border>
    <border>
      <left/>
      <right style="thin">
        <color theme="0" tint="-0.14996795556505021"/>
      </right>
      <top/>
      <bottom/>
      <diagonal/>
    </border>
    <border>
      <left style="thin">
        <color indexed="63"/>
      </left>
      <right/>
      <top style="thin">
        <color indexed="63"/>
      </top>
      <bottom/>
      <diagonal/>
    </border>
    <border>
      <left/>
      <right/>
      <top style="thin">
        <color indexed="63"/>
      </top>
      <bottom/>
      <diagonal/>
    </border>
    <border>
      <left/>
      <right style="thin">
        <color indexed="63"/>
      </right>
      <top style="thin">
        <color indexed="63"/>
      </top>
      <bottom/>
      <diagonal/>
    </border>
    <border>
      <left/>
      <right/>
      <top/>
      <bottom style="thin">
        <color theme="7" tint="0.39997558519241921"/>
      </bottom>
      <diagonal/>
    </border>
    <border>
      <left/>
      <right/>
      <top/>
      <bottom style="thin">
        <color theme="0" tint="-0.14996795556505021"/>
      </bottom>
      <diagonal/>
    </border>
    <border>
      <left/>
      <right/>
      <top style="thin">
        <color theme="0" tint="-0.14996795556505021"/>
      </top>
      <bottom/>
      <diagonal/>
    </border>
    <border>
      <left/>
      <right style="thin">
        <color theme="0" tint="-0.14996795556505021"/>
      </right>
      <top style="thin">
        <color theme="0" tint="-0.14996795556505021"/>
      </top>
      <bottom/>
      <diagonal/>
    </border>
    <border>
      <left/>
      <right style="thin">
        <color theme="4" tint="0.39997558519241921"/>
      </right>
      <top style="thin">
        <color theme="4" tint="0.39997558519241921"/>
      </top>
      <bottom style="thin">
        <color theme="4" tint="0.39997558519241921"/>
      </bottom>
      <diagonal/>
    </border>
    <border>
      <left/>
      <right/>
      <top style="thin">
        <color indexed="23"/>
      </top>
      <bottom/>
      <diagonal/>
    </border>
    <border>
      <left/>
      <right/>
      <top/>
      <bottom style="thin">
        <color indexed="2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theme="0" tint="-0.14996795556505021"/>
      </right>
      <top/>
      <bottom style="thin">
        <color theme="0" tint="-0.14996795556505021"/>
      </bottom>
      <diagonal/>
    </border>
    <border>
      <left style="thin">
        <color auto="1"/>
      </left>
      <right style="thin">
        <color auto="1"/>
      </right>
      <top style="thin">
        <color auto="1"/>
      </top>
      <bottom/>
      <diagonal/>
    </border>
    <border>
      <left/>
      <right style="thin">
        <color theme="0" tint="-0.14996795556505021"/>
      </right>
      <top style="thin">
        <color theme="7" tint="0.39997558519241921"/>
      </top>
      <bottom/>
      <diagonal/>
    </border>
    <border>
      <left/>
      <right style="thin">
        <color theme="0" tint="-0.14996795556505021"/>
      </right>
      <top/>
      <bottom style="thin">
        <color theme="7" tint="0.39997558519241921"/>
      </bottom>
      <diagonal/>
    </border>
    <border>
      <left style="thin">
        <color indexed="23"/>
      </left>
      <right/>
      <top style="thin">
        <color indexed="23"/>
      </top>
      <bottom style="thin">
        <color indexed="23"/>
      </bottom>
      <diagonal/>
    </border>
    <border>
      <left style="thin">
        <color theme="0" tint="-0.14996795556505021"/>
      </left>
      <right/>
      <top style="thin">
        <color theme="0" tint="-0.14996795556505021"/>
      </top>
      <bottom/>
      <diagonal/>
    </border>
    <border>
      <left/>
      <right style="thin">
        <color indexed="23"/>
      </right>
      <top/>
      <bottom style="thin">
        <color indexed="23"/>
      </bottom>
      <diagonal/>
    </border>
    <border>
      <left style="thin">
        <color theme="0" tint="-0.14996795556505021"/>
      </left>
      <right/>
      <top/>
      <bottom style="thin">
        <color theme="0" tint="-0.14996795556505021"/>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4506668294322"/>
      </left>
      <right style="thin">
        <color theme="4" tint="0.39991454817346722"/>
      </right>
      <top style="thin">
        <color theme="4" tint="0.39991454817346722"/>
      </top>
      <bottom/>
      <diagonal/>
    </border>
    <border>
      <left style="thin">
        <color theme="4" tint="0.39994506668294322"/>
      </left>
      <right style="thin">
        <color theme="4" tint="0.39991454817346722"/>
      </right>
      <top/>
      <bottom/>
      <diagonal/>
    </border>
    <border>
      <left style="thin">
        <color theme="4" tint="0.39994506668294322"/>
      </left>
      <right style="thin">
        <color theme="4" tint="0.39991454817346722"/>
      </right>
      <top/>
      <bottom style="thin">
        <color theme="4" tint="0.39991454817346722"/>
      </bottom>
      <diagonal/>
    </border>
    <border>
      <left style="thin">
        <color theme="4" tint="0.39997558519241921"/>
      </left>
      <right style="thin">
        <color theme="4" tint="0.39994506668294322"/>
      </right>
      <top style="thin">
        <color theme="4" tint="0.39997558519241921"/>
      </top>
      <bottom/>
      <diagonal/>
    </border>
    <border>
      <left style="thin">
        <color theme="4" tint="0.39988402966399123"/>
      </left>
      <right style="thin">
        <color theme="4" tint="0.39994506668294322"/>
      </right>
      <top/>
      <bottom style="thin">
        <color theme="4" tint="0.39991454817346722"/>
      </bottom>
      <diagonal/>
    </border>
    <border>
      <left style="thin">
        <color theme="4" tint="0.39991454817346722"/>
      </left>
      <right style="thin">
        <color theme="4" tint="0.39991454817346722"/>
      </right>
      <top/>
      <bottom style="thin">
        <color theme="4" tint="0.39991454817346722"/>
      </bottom>
      <diagonal/>
    </border>
    <border>
      <left style="thin">
        <color theme="4" tint="0.39991454817346722"/>
      </left>
      <right style="thin">
        <color theme="4" tint="0.39991454817346722"/>
      </right>
      <top style="thin">
        <color theme="4" tint="0.39991454817346722"/>
      </top>
      <bottom/>
      <diagonal/>
    </border>
    <border>
      <left/>
      <right style="thin">
        <color theme="0" tint="-4.9989318521683403E-2"/>
      </right>
      <top/>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right style="thin">
        <color indexed="23"/>
      </right>
      <top style="thin">
        <color theme="0" tint="-0.14996795556505021"/>
      </top>
      <bottom style="thin">
        <color theme="0" tint="-0.14996795556505021"/>
      </bottom>
      <diagonal/>
    </border>
    <border>
      <left style="thin">
        <color indexed="23"/>
      </left>
      <right style="thin">
        <color indexed="23"/>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C0C0C0"/>
      </left>
      <right style="thin">
        <color rgb="FFC0C0C0"/>
      </right>
      <top style="thin">
        <color rgb="FFC0C0C0"/>
      </top>
      <bottom style="thin">
        <color rgb="FFC0C0C0"/>
      </bottom>
      <diagonal/>
    </border>
    <border>
      <left/>
      <right/>
      <top style="medium">
        <color indexed="64"/>
      </top>
      <bottom style="medium">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theme="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auto="1"/>
      </left>
      <right style="thin">
        <color auto="1"/>
      </right>
      <top/>
      <bottom style="thin">
        <color auto="1"/>
      </bottom>
      <diagonal/>
    </border>
    <border>
      <left style="medium">
        <color theme="1"/>
      </left>
      <right/>
      <top style="thin">
        <color rgb="FFD9D9D9"/>
      </top>
      <bottom style="thin">
        <color indexed="64"/>
      </bottom>
      <diagonal/>
    </border>
    <border>
      <left style="medium">
        <color theme="1"/>
      </left>
      <right/>
      <top style="thin">
        <color rgb="FFD9D9D9"/>
      </top>
      <bottom style="thin">
        <color rgb="FFD9D9D9"/>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indexed="22"/>
      </left>
      <right style="thin">
        <color indexed="64"/>
      </right>
      <top style="thin">
        <color indexed="22"/>
      </top>
      <bottom style="thin">
        <color indexed="22"/>
      </bottom>
      <diagonal/>
    </border>
    <border>
      <left style="thin">
        <color indexed="64"/>
      </left>
      <right/>
      <top style="thin">
        <color theme="0" tint="-0.14996795556505021"/>
      </top>
      <bottom style="thin">
        <color indexed="64"/>
      </bottom>
      <diagonal/>
    </border>
    <border>
      <left style="thin">
        <color indexed="22"/>
      </left>
      <right style="thin">
        <color indexed="64"/>
      </right>
      <top style="thin">
        <color indexed="22"/>
      </top>
      <bottom style="thin">
        <color indexed="64"/>
      </bottom>
      <diagonal/>
    </border>
  </borders>
  <cellStyleXfs count="63">
    <xf numFmtId="0" fontId="0" fillId="0" borderId="0"/>
    <xf numFmtId="0" fontId="5" fillId="2" borderId="0" applyNumberFormat="0" applyBorder="0" applyAlignment="0" applyProtection="0"/>
    <xf numFmtId="0" fontId="6" fillId="3" borderId="0" applyNumberFormat="0" applyBorder="0" applyAlignment="0" applyProtection="0"/>
    <xf numFmtId="0" fontId="4" fillId="4" borderId="0" applyNumberFormat="0" applyBorder="0" applyAlignment="0" applyProtection="0"/>
    <xf numFmtId="0" fontId="8" fillId="6" borderId="0">
      <alignment horizontal="center"/>
    </xf>
    <xf numFmtId="0" fontId="8" fillId="7" borderId="0">
      <alignment horizontal="center"/>
    </xf>
    <xf numFmtId="0" fontId="4" fillId="10" borderId="0"/>
    <xf numFmtId="0" fontId="4" fillId="18" borderId="0" applyNumberFormat="0" applyBorder="0" applyAlignment="0" applyProtection="0"/>
    <xf numFmtId="0" fontId="21" fillId="0" borderId="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2" borderId="0" applyNumberFormat="0" applyBorder="0" applyAlignment="0" applyProtection="0"/>
    <xf numFmtId="0" fontId="22" fillId="45" borderId="0" applyNumberFormat="0" applyBorder="0" applyAlignment="0" applyProtection="0"/>
    <xf numFmtId="0" fontId="22" fillId="48" borderId="0" applyNumberFormat="0" applyBorder="0" applyAlignment="0" applyProtection="0"/>
    <xf numFmtId="0" fontId="23" fillId="49"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52" borderId="0" applyNumberFormat="0" applyBorder="0" applyAlignment="0" applyProtection="0"/>
    <xf numFmtId="0" fontId="23" fillId="53" borderId="0" applyNumberFormat="0" applyBorder="0" applyAlignment="0" applyProtection="0"/>
    <xf numFmtId="0" fontId="23" fillId="54" borderId="0" applyNumberFormat="0" applyBorder="0" applyAlignment="0" applyProtection="0"/>
    <xf numFmtId="0" fontId="23" fillId="55"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56" borderId="0" applyNumberFormat="0" applyBorder="0" applyAlignment="0" applyProtection="0"/>
    <xf numFmtId="0" fontId="24" fillId="40" borderId="0" applyNumberFormat="0" applyBorder="0" applyAlignment="0" applyProtection="0"/>
    <xf numFmtId="0" fontId="25" fillId="57" borderId="23" applyNumberFormat="0" applyAlignment="0" applyProtection="0"/>
    <xf numFmtId="0" fontId="26" fillId="58" borderId="24" applyNumberFormat="0" applyAlignment="0" applyProtection="0"/>
    <xf numFmtId="167" fontId="11" fillId="0" borderId="0" applyFill="0" applyBorder="0" applyAlignment="0" applyProtection="0"/>
    <xf numFmtId="169" fontId="11" fillId="0" borderId="0" applyFill="0" applyBorder="0" applyAlignment="0" applyProtection="0"/>
    <xf numFmtId="168" fontId="11" fillId="0" borderId="0" applyFill="0" applyBorder="0" applyAlignment="0" applyProtection="0"/>
    <xf numFmtId="0" fontId="27" fillId="0" borderId="0" applyNumberFormat="0" applyFill="0" applyBorder="0" applyAlignment="0" applyProtection="0"/>
    <xf numFmtId="0" fontId="28" fillId="41" borderId="0" applyNumberFormat="0" applyBorder="0" applyAlignment="0" applyProtection="0"/>
    <xf numFmtId="0" fontId="29" fillId="0" borderId="25" applyNumberFormat="0" applyFill="0" applyAlignment="0" applyProtection="0"/>
    <xf numFmtId="0" fontId="30" fillId="0" borderId="26" applyNumberFormat="0" applyFill="0" applyAlignment="0" applyProtection="0"/>
    <xf numFmtId="0" fontId="31" fillId="0" borderId="27" applyNumberFormat="0" applyFill="0" applyAlignment="0" applyProtection="0"/>
    <xf numFmtId="0" fontId="31" fillId="0" borderId="0" applyNumberFormat="0" applyFill="0" applyBorder="0" applyAlignment="0" applyProtection="0"/>
    <xf numFmtId="0" fontId="32" fillId="44" borderId="23" applyNumberFormat="0" applyAlignment="0" applyProtection="0"/>
    <xf numFmtId="0" fontId="33" fillId="0" borderId="28" applyNumberFormat="0" applyFill="0" applyAlignment="0" applyProtection="0"/>
    <xf numFmtId="0" fontId="34" fillId="59" borderId="0" applyNumberFormat="0" applyBorder="0" applyAlignment="0" applyProtection="0"/>
    <xf numFmtId="0" fontId="11" fillId="0" borderId="0"/>
    <xf numFmtId="0" fontId="11" fillId="60" borderId="29" applyNumberFormat="0" applyAlignment="0" applyProtection="0"/>
    <xf numFmtId="0" fontId="35" fillId="57" borderId="30" applyNumberFormat="0" applyAlignment="0" applyProtection="0"/>
    <xf numFmtId="9" fontId="11" fillId="0" borderId="0" applyFill="0" applyBorder="0" applyAlignment="0" applyProtection="0"/>
    <xf numFmtId="0" fontId="36" fillId="0" borderId="0" applyNumberFormat="0" applyFill="0" applyBorder="0" applyAlignment="0" applyProtection="0"/>
    <xf numFmtId="0" fontId="37" fillId="0" borderId="31" applyNumberFormat="0" applyFill="0" applyAlignment="0" applyProtection="0"/>
    <xf numFmtId="0" fontId="38" fillId="0" borderId="0" applyNumberFormat="0" applyFill="0" applyBorder="0" applyAlignment="0" applyProtection="0"/>
    <xf numFmtId="167" fontId="11" fillId="0" borderId="0" applyFill="0" applyBorder="0" applyAlignment="0" applyProtection="0"/>
    <xf numFmtId="0" fontId="4" fillId="65" borderId="0" applyNumberFormat="0" applyBorder="0" applyAlignment="0" applyProtection="0"/>
    <xf numFmtId="0" fontId="4" fillId="70" borderId="0" applyNumberFormat="0" applyBorder="0" applyAlignment="0" applyProtection="0"/>
    <xf numFmtId="0" fontId="4" fillId="71" borderId="0" applyNumberFormat="0" applyBorder="0" applyAlignment="0" applyProtection="0"/>
    <xf numFmtId="0" fontId="4" fillId="72" borderId="0" applyNumberFormat="0" applyBorder="0" applyAlignment="0" applyProtection="0"/>
    <xf numFmtId="0" fontId="3" fillId="0" borderId="0"/>
    <xf numFmtId="0" fontId="2" fillId="0" borderId="0"/>
    <xf numFmtId="0" fontId="1" fillId="0" borderId="0"/>
  </cellStyleXfs>
  <cellXfs count="526">
    <xf numFmtId="0" fontId="0" fillId="0" borderId="0" xfId="0"/>
    <xf numFmtId="2" fontId="0" fillId="0" borderId="0" xfId="0" applyNumberFormat="1"/>
    <xf numFmtId="10" fontId="0" fillId="0" borderId="0" xfId="0" applyNumberFormat="1"/>
    <xf numFmtId="0" fontId="17" fillId="11" borderId="4" xfId="0" applyFont="1" applyFill="1" applyBorder="1" applyAlignment="1">
      <alignment horizontal="center" wrapText="1"/>
    </xf>
    <xf numFmtId="0" fontId="16" fillId="14" borderId="2" xfId="0" applyFont="1" applyFill="1" applyBorder="1" applyAlignment="1">
      <alignment horizontal="center" vertical="center"/>
    </xf>
    <xf numFmtId="0" fontId="0" fillId="0" borderId="0" xfId="0" applyBorder="1"/>
    <xf numFmtId="0" fontId="13" fillId="4" borderId="4" xfId="3" applyFont="1" applyFill="1" applyBorder="1" applyAlignment="1">
      <alignment horizontal="center" vertical="center" wrapText="1"/>
    </xf>
    <xf numFmtId="0" fontId="14" fillId="17" borderId="4" xfId="2" applyFont="1" applyFill="1" applyBorder="1" applyAlignment="1">
      <alignment horizontal="center" vertical="center" wrapText="1"/>
    </xf>
    <xf numFmtId="0" fontId="14" fillId="3" borderId="4" xfId="2" applyFont="1" applyFill="1" applyBorder="1" applyAlignment="1">
      <alignment horizontal="center" vertical="center" wrapText="1"/>
    </xf>
    <xf numFmtId="0" fontId="13" fillId="4" borderId="4" xfId="3" applyFont="1" applyFill="1" applyBorder="1" applyAlignment="1">
      <alignment horizontal="center" vertical="center"/>
    </xf>
    <xf numFmtId="0" fontId="16" fillId="11" borderId="4" xfId="0" applyFont="1" applyFill="1" applyBorder="1" applyAlignment="1">
      <alignment horizontal="center" vertical="center" wrapText="1"/>
    </xf>
    <xf numFmtId="2" fontId="14" fillId="3" borderId="4" xfId="2" applyNumberFormat="1" applyFont="1" applyFill="1" applyBorder="1" applyAlignment="1">
      <alignment horizontal="center" vertical="center" wrapText="1"/>
    </xf>
    <xf numFmtId="0" fontId="16" fillId="14" borderId="9" xfId="0" applyFont="1" applyFill="1" applyBorder="1" applyAlignment="1">
      <alignment horizontal="center"/>
    </xf>
    <xf numFmtId="2" fontId="0" fillId="21" borderId="8" xfId="0" applyNumberFormat="1" applyFont="1" applyFill="1" applyBorder="1"/>
    <xf numFmtId="2" fontId="5" fillId="16" borderId="9" xfId="1" applyNumberFormat="1" applyFont="1" applyFill="1" applyBorder="1" applyAlignment="1">
      <alignment horizontal="center"/>
    </xf>
    <xf numFmtId="0" fontId="0" fillId="0" borderId="0" xfId="0" applyAlignment="1">
      <alignment horizontal="center" wrapText="1"/>
    </xf>
    <xf numFmtId="0" fontId="0" fillId="8" borderId="0" xfId="0" applyFill="1" applyAlignment="1">
      <alignment horizontal="center"/>
    </xf>
    <xf numFmtId="164" fontId="11" fillId="0" borderId="0" xfId="0" applyNumberFormat="1" applyFont="1" applyBorder="1"/>
    <xf numFmtId="0" fontId="0" fillId="0" borderId="0" xfId="0" applyFont="1" applyBorder="1" applyAlignment="1">
      <alignment horizontal="center"/>
    </xf>
    <xf numFmtId="0" fontId="7" fillId="14" borderId="0" xfId="0" applyFont="1" applyFill="1" applyAlignment="1">
      <alignment horizontal="center" vertical="center" wrapText="1"/>
    </xf>
    <xf numFmtId="0" fontId="13" fillId="8" borderId="4"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4" fillId="30" borderId="6" xfId="2" applyFont="1" applyFill="1" applyBorder="1" applyAlignment="1">
      <alignment horizontal="center" vertical="center" wrapText="1"/>
    </xf>
    <xf numFmtId="0" fontId="14" fillId="30" borderId="4" xfId="2" applyFont="1" applyFill="1" applyBorder="1" applyAlignment="1">
      <alignment horizontal="center" vertical="center" wrapText="1"/>
    </xf>
    <xf numFmtId="0" fontId="0" fillId="0" borderId="12" xfId="0" applyBorder="1"/>
    <xf numFmtId="0" fontId="0" fillId="0" borderId="12" xfId="0" applyFill="1"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1" xfId="0" applyBorder="1" applyAlignment="1" applyProtection="1">
      <alignment horizontal="right"/>
    </xf>
    <xf numFmtId="0" fontId="0" fillId="17" borderId="13" xfId="0" applyFill="1" applyBorder="1"/>
    <xf numFmtId="0" fontId="11" fillId="2" borderId="17" xfId="1" applyFont="1" applyBorder="1" applyAlignment="1">
      <alignment horizontal="center" vertical="center"/>
    </xf>
    <xf numFmtId="0" fontId="11" fillId="2" borderId="18" xfId="1" applyFont="1" applyBorder="1" applyAlignment="1">
      <alignment horizontal="center" vertical="center"/>
    </xf>
    <xf numFmtId="0" fontId="11" fillId="2" borderId="13" xfId="1" applyFont="1" applyBorder="1" applyAlignment="1">
      <alignment horizontal="center" vertical="center"/>
    </xf>
    <xf numFmtId="0" fontId="11" fillId="2" borderId="19" xfId="1" applyFont="1" applyBorder="1" applyAlignment="1">
      <alignment horizontal="center" vertical="center"/>
    </xf>
    <xf numFmtId="0" fontId="11" fillId="2" borderId="20" xfId="1" applyFont="1" applyBorder="1" applyAlignment="1">
      <alignment horizontal="center" vertical="center"/>
    </xf>
    <xf numFmtId="0" fontId="11" fillId="12" borderId="13" xfId="1" applyFont="1" applyFill="1" applyBorder="1" applyAlignment="1">
      <alignment horizontal="center" vertical="center"/>
    </xf>
    <xf numFmtId="0" fontId="11" fillId="12" borderId="21" xfId="1" applyFont="1" applyFill="1" applyBorder="1" applyAlignment="1">
      <alignment horizontal="center" vertical="center"/>
    </xf>
    <xf numFmtId="0" fontId="11" fillId="12" borderId="14" xfId="1" applyFont="1" applyFill="1" applyBorder="1" applyAlignment="1">
      <alignment horizontal="center" vertical="center"/>
    </xf>
    <xf numFmtId="0" fontId="16" fillId="36" borderId="12" xfId="0" applyFont="1" applyFill="1" applyBorder="1" applyAlignment="1">
      <alignment horizontal="center" vertical="center"/>
    </xf>
    <xf numFmtId="0" fontId="16" fillId="36" borderId="12" xfId="0" applyFont="1" applyFill="1" applyBorder="1" applyAlignment="1">
      <alignment horizontal="center" vertical="center" wrapText="1"/>
    </xf>
    <xf numFmtId="0" fontId="16" fillId="0" borderId="14" xfId="0" applyFont="1" applyBorder="1"/>
    <xf numFmtId="0" fontId="16" fillId="2" borderId="13" xfId="1" applyFont="1" applyBorder="1" applyAlignment="1">
      <alignment horizontal="center" vertical="center"/>
    </xf>
    <xf numFmtId="0" fontId="16" fillId="12" borderId="13" xfId="1" applyFont="1" applyFill="1" applyBorder="1" applyAlignment="1">
      <alignment horizontal="center" vertical="center"/>
    </xf>
    <xf numFmtId="0" fontId="0" fillId="0" borderId="0" xfId="0" quotePrefix="1"/>
    <xf numFmtId="0" fontId="10" fillId="16" borderId="2" xfId="1" applyFont="1" applyFill="1" applyBorder="1" applyAlignment="1">
      <alignment wrapText="1"/>
    </xf>
    <xf numFmtId="0" fontId="0" fillId="0" borderId="37" xfId="0" applyBorder="1"/>
    <xf numFmtId="0" fontId="0" fillId="0" borderId="38" xfId="0" applyBorder="1"/>
    <xf numFmtId="0" fontId="40" fillId="62" borderId="0" xfId="0" applyFont="1" applyFill="1" applyAlignment="1">
      <alignment horizontal="center" wrapText="1"/>
    </xf>
    <xf numFmtId="0" fontId="41" fillId="0" borderId="0" xfId="0" applyFont="1"/>
    <xf numFmtId="0" fontId="7" fillId="15" borderId="0" xfId="0" applyFont="1" applyFill="1" applyAlignment="1">
      <alignment wrapText="1"/>
    </xf>
    <xf numFmtId="0" fontId="0" fillId="0" borderId="0" xfId="0" applyFill="1"/>
    <xf numFmtId="2" fontId="10" fillId="16" borderId="2" xfId="1" applyNumberFormat="1" applyFont="1" applyFill="1" applyBorder="1" applyAlignment="1">
      <alignment vertical="center"/>
    </xf>
    <xf numFmtId="0" fontId="12" fillId="5" borderId="0" xfId="0" applyFont="1" applyFill="1" applyAlignment="1">
      <alignment vertical="center" wrapText="1"/>
    </xf>
    <xf numFmtId="0" fontId="7" fillId="13" borderId="0" xfId="0" applyFont="1" applyFill="1" applyAlignment="1">
      <alignment vertical="center" wrapText="1"/>
    </xf>
    <xf numFmtId="0" fontId="10" fillId="2" borderId="12" xfId="1" applyFont="1" applyFill="1" applyBorder="1" applyAlignment="1">
      <alignment vertical="center"/>
    </xf>
    <xf numFmtId="0" fontId="7" fillId="24" borderId="12" xfId="0" applyFont="1" applyFill="1" applyBorder="1" applyAlignment="1">
      <alignment horizontal="center" wrapText="1"/>
    </xf>
    <xf numFmtId="0" fontId="16" fillId="26" borderId="12" xfId="0" applyFont="1" applyFill="1" applyBorder="1" applyAlignment="1">
      <alignment horizontal="center" wrapText="1"/>
    </xf>
    <xf numFmtId="0" fontId="16" fillId="27" borderId="12" xfId="0" applyFont="1" applyFill="1" applyBorder="1" applyAlignment="1">
      <alignment horizontal="center" wrapText="1"/>
    </xf>
    <xf numFmtId="0" fontId="0" fillId="10" borderId="12" xfId="6" applyFont="1" applyBorder="1" applyAlignment="1">
      <alignment vertical="center" wrapText="1"/>
    </xf>
    <xf numFmtId="0" fontId="11" fillId="28" borderId="12" xfId="0" applyFont="1" applyFill="1" applyBorder="1" applyAlignment="1">
      <alignment vertical="center" wrapText="1"/>
    </xf>
    <xf numFmtId="0" fontId="16" fillId="15" borderId="12" xfId="0" applyFont="1" applyFill="1" applyBorder="1" applyAlignment="1">
      <alignment vertical="center" wrapText="1"/>
    </xf>
    <xf numFmtId="0" fontId="16" fillId="67" borderId="12" xfId="0" applyFont="1" applyFill="1" applyBorder="1" applyAlignment="1">
      <alignment horizontal="center"/>
    </xf>
    <xf numFmtId="0" fontId="16" fillId="68" borderId="12" xfId="0" applyFont="1" applyFill="1" applyBorder="1" applyAlignment="1">
      <alignment horizontal="center"/>
    </xf>
    <xf numFmtId="2" fontId="11" fillId="2" borderId="12" xfId="1" applyNumberFormat="1" applyFont="1" applyBorder="1" applyAlignment="1">
      <alignment horizontal="center" vertical="center"/>
    </xf>
    <xf numFmtId="164" fontId="0" fillId="0" borderId="12" xfId="0" applyNumberFormat="1" applyBorder="1"/>
    <xf numFmtId="2" fontId="0" fillId="0" borderId="12" xfId="0" applyNumberFormat="1" applyBorder="1"/>
    <xf numFmtId="164" fontId="11" fillId="0" borderId="12" xfId="0" applyNumberFormat="1" applyFont="1" applyBorder="1"/>
    <xf numFmtId="0" fontId="0" fillId="0" borderId="12" xfId="0" applyFont="1" applyBorder="1" applyAlignment="1">
      <alignment horizontal="center"/>
    </xf>
    <xf numFmtId="164" fontId="0" fillId="0" borderId="12" xfId="0" quotePrefix="1" applyNumberFormat="1" applyBorder="1"/>
    <xf numFmtId="0" fontId="10" fillId="16" borderId="0" xfId="1" applyFont="1" applyFill="1" applyBorder="1" applyAlignment="1">
      <alignment wrapText="1"/>
    </xf>
    <xf numFmtId="2" fontId="10" fillId="16" borderId="0" xfId="1" applyNumberFormat="1" applyFont="1" applyFill="1" applyBorder="1" applyAlignment="1">
      <alignment vertical="center"/>
    </xf>
    <xf numFmtId="0" fontId="16" fillId="67" borderId="12" xfId="0" applyFont="1" applyFill="1" applyBorder="1" applyAlignment="1">
      <alignment horizontal="center" wrapText="1"/>
    </xf>
    <xf numFmtId="0" fontId="16" fillId="68" borderId="12" xfId="0" applyFont="1" applyFill="1" applyBorder="1" applyAlignment="1">
      <alignment horizontal="center" wrapText="1"/>
    </xf>
    <xf numFmtId="0" fontId="7" fillId="12" borderId="0" xfId="0" applyFont="1" applyFill="1" applyAlignment="1">
      <alignment horizontal="center" wrapText="1"/>
    </xf>
    <xf numFmtId="0" fontId="13" fillId="4" borderId="48" xfId="3" applyFont="1" applyFill="1" applyBorder="1" applyAlignment="1">
      <alignment vertical="center" wrapText="1"/>
    </xf>
    <xf numFmtId="0" fontId="13" fillId="4" borderId="47" xfId="3" applyFont="1" applyFill="1" applyBorder="1" applyAlignment="1">
      <alignment vertical="center" wrapText="1"/>
    </xf>
    <xf numFmtId="0" fontId="0" fillId="29" borderId="0" xfId="0" applyFill="1"/>
    <xf numFmtId="0" fontId="10" fillId="16" borderId="0" xfId="1" applyFont="1" applyFill="1" applyBorder="1" applyAlignment="1">
      <alignment horizontal="center" wrapText="1"/>
    </xf>
    <xf numFmtId="0" fontId="11" fillId="2" borderId="40" xfId="1" applyFont="1" applyBorder="1" applyAlignment="1">
      <alignment horizontal="center" vertical="center"/>
    </xf>
    <xf numFmtId="0" fontId="0" fillId="13" borderId="0" xfId="0" applyFill="1"/>
    <xf numFmtId="0" fontId="13" fillId="13" borderId="48" xfId="3" applyFont="1" applyFill="1" applyBorder="1" applyAlignment="1">
      <alignment vertical="center" wrapText="1"/>
    </xf>
    <xf numFmtId="0" fontId="7" fillId="13" borderId="0" xfId="0" applyFont="1" applyFill="1" applyAlignment="1">
      <alignment horizontal="center" wrapText="1"/>
    </xf>
    <xf numFmtId="0" fontId="7" fillId="0" borderId="0" xfId="0" applyFont="1"/>
    <xf numFmtId="0" fontId="11" fillId="12" borderId="1" xfId="1" applyFont="1" applyFill="1" applyBorder="1" applyAlignment="1">
      <alignment horizontal="center" vertical="center"/>
    </xf>
    <xf numFmtId="0" fontId="11" fillId="13" borderId="1" xfId="1" applyFont="1" applyFill="1" applyBorder="1" applyAlignment="1">
      <alignment horizontal="center" vertical="center"/>
    </xf>
    <xf numFmtId="0" fontId="11" fillId="17" borderId="1" xfId="1" applyFont="1" applyFill="1" applyBorder="1" applyAlignment="1">
      <alignment horizontal="center" vertical="center"/>
    </xf>
    <xf numFmtId="0" fontId="11" fillId="36" borderId="1" xfId="1" applyFont="1" applyFill="1" applyBorder="1" applyAlignment="1">
      <alignment horizontal="center" vertical="center"/>
    </xf>
    <xf numFmtId="0" fontId="0" fillId="0" borderId="0" xfId="0" applyAlignment="1">
      <alignment horizontal="center"/>
    </xf>
    <xf numFmtId="0" fontId="17" fillId="74" borderId="49" xfId="0" applyFont="1" applyFill="1" applyBorder="1"/>
    <xf numFmtId="0" fontId="7" fillId="0" borderId="0" xfId="0" applyFont="1" applyAlignment="1">
      <alignment horizontal="center" vertical="center"/>
    </xf>
    <xf numFmtId="0" fontId="7" fillId="0" borderId="0" xfId="0" applyFont="1" applyAlignment="1">
      <alignment horizontal="center" vertical="center" wrapText="1"/>
    </xf>
    <xf numFmtId="0" fontId="14" fillId="17" borderId="23" xfId="2" applyFont="1" applyFill="1" applyBorder="1" applyAlignment="1">
      <alignment horizontal="center" vertical="center" wrapText="1"/>
    </xf>
    <xf numFmtId="0" fontId="10" fillId="2" borderId="1" xfId="1" applyFont="1" applyFill="1" applyBorder="1" applyAlignment="1">
      <alignment vertical="center"/>
    </xf>
    <xf numFmtId="170" fontId="0" fillId="0" borderId="0" xfId="0" applyNumberFormat="1"/>
    <xf numFmtId="0" fontId="43" fillId="33" borderId="12" xfId="0" applyFont="1" applyFill="1" applyBorder="1"/>
    <xf numFmtId="0" fontId="43" fillId="0" borderId="12" xfId="0" applyFont="1" applyBorder="1"/>
    <xf numFmtId="0" fontId="43" fillId="34" borderId="12" xfId="0" applyNumberFormat="1" applyFont="1" applyFill="1" applyBorder="1"/>
    <xf numFmtId="0" fontId="44" fillId="35" borderId="12" xfId="1" applyFont="1" applyFill="1" applyBorder="1" applyAlignment="1">
      <alignment horizontal="center" vertical="center"/>
    </xf>
    <xf numFmtId="0" fontId="43" fillId="0" borderId="12" xfId="0" applyFont="1" applyFill="1" applyBorder="1"/>
    <xf numFmtId="0" fontId="43" fillId="37" borderId="12" xfId="0" applyFont="1" applyFill="1" applyBorder="1"/>
    <xf numFmtId="165" fontId="45" fillId="37" borderId="12" xfId="0" applyNumberFormat="1" applyFont="1" applyFill="1" applyBorder="1" applyProtection="1"/>
    <xf numFmtId="165" fontId="44" fillId="12" borderId="12" xfId="1" applyNumberFormat="1" applyFont="1" applyFill="1" applyBorder="1" applyAlignment="1">
      <alignment vertical="center"/>
    </xf>
    <xf numFmtId="0" fontId="46" fillId="36" borderId="12" xfId="0" applyFont="1" applyFill="1" applyBorder="1" applyAlignment="1">
      <alignment horizontal="center"/>
    </xf>
    <xf numFmtId="165" fontId="43" fillId="0" borderId="12" xfId="0" applyNumberFormat="1" applyFont="1" applyBorder="1"/>
    <xf numFmtId="165" fontId="47" fillId="0" borderId="12" xfId="0" applyNumberFormat="1" applyFont="1" applyBorder="1"/>
    <xf numFmtId="165" fontId="45" fillId="0" borderId="12" xfId="0" applyNumberFormat="1" applyFont="1" applyBorder="1"/>
    <xf numFmtId="166" fontId="43" fillId="0" borderId="12" xfId="0" applyNumberFormat="1" applyFont="1" applyBorder="1"/>
    <xf numFmtId="0" fontId="43" fillId="0" borderId="14" xfId="0" applyFont="1" applyBorder="1"/>
    <xf numFmtId="165" fontId="43" fillId="0" borderId="14" xfId="0" applyNumberFormat="1" applyFont="1" applyBorder="1"/>
    <xf numFmtId="0" fontId="43" fillId="0" borderId="15" xfId="0" applyFont="1" applyBorder="1"/>
    <xf numFmtId="0" fontId="46" fillId="0" borderId="10" xfId="0" applyFont="1" applyBorder="1" applyAlignment="1" applyProtection="1">
      <alignment horizontal="center"/>
    </xf>
    <xf numFmtId="0" fontId="48" fillId="0" borderId="12" xfId="0" applyFont="1" applyBorder="1"/>
    <xf numFmtId="0" fontId="48" fillId="0" borderId="15" xfId="0" applyFont="1" applyBorder="1"/>
    <xf numFmtId="0" fontId="48" fillId="0" borderId="13" xfId="0" applyFont="1" applyBorder="1"/>
    <xf numFmtId="165" fontId="49" fillId="0" borderId="10" xfId="0" applyNumberFormat="1" applyFont="1" applyBorder="1" applyAlignment="1">
      <alignment horizontal="center"/>
    </xf>
    <xf numFmtId="0" fontId="48" fillId="0" borderId="16" xfId="0" applyFont="1" applyBorder="1"/>
    <xf numFmtId="165" fontId="48" fillId="0" borderId="12" xfId="0" applyNumberFormat="1" applyFont="1" applyBorder="1"/>
    <xf numFmtId="165" fontId="48" fillId="0" borderId="15" xfId="0" applyNumberFormat="1" applyFont="1" applyBorder="1"/>
    <xf numFmtId="0" fontId="51" fillId="0" borderId="10" xfId="0" applyFont="1" applyBorder="1"/>
    <xf numFmtId="164" fontId="7" fillId="18" borderId="0" xfId="7" applyNumberFormat="1" applyFont="1" applyBorder="1" applyAlignment="1">
      <alignment horizontal="center" vertical="center"/>
    </xf>
    <xf numFmtId="2" fontId="10" fillId="22" borderId="45" xfId="1" applyNumberFormat="1" applyFont="1" applyFill="1" applyBorder="1" applyAlignment="1">
      <alignment vertical="center"/>
    </xf>
    <xf numFmtId="0" fontId="7" fillId="4" borderId="0" xfId="3" applyFont="1" applyAlignment="1">
      <alignment vertical="center" wrapText="1"/>
    </xf>
    <xf numFmtId="0" fontId="7" fillId="4" borderId="0" xfId="3" applyFont="1" applyAlignment="1">
      <alignment horizontal="center" vertical="center" wrapText="1"/>
    </xf>
    <xf numFmtId="0" fontId="7" fillId="4" borderId="0" xfId="3" applyFont="1" applyAlignment="1">
      <alignment horizontal="center" wrapText="1"/>
    </xf>
    <xf numFmtId="0" fontId="7" fillId="8" borderId="0" xfId="0" applyFont="1" applyFill="1" applyAlignment="1">
      <alignment horizontal="center"/>
    </xf>
    <xf numFmtId="0" fontId="7" fillId="0" borderId="0" xfId="0" applyFont="1" applyAlignment="1">
      <alignment horizontal="center"/>
    </xf>
    <xf numFmtId="0" fontId="11" fillId="2" borderId="0" xfId="1" applyFont="1" applyBorder="1" applyAlignment="1">
      <alignment vertical="center"/>
    </xf>
    <xf numFmtId="0" fontId="11" fillId="2" borderId="41" xfId="1" applyFont="1" applyBorder="1" applyAlignment="1">
      <alignment vertical="center"/>
    </xf>
    <xf numFmtId="0" fontId="10" fillId="2" borderId="41" xfId="1" applyFont="1" applyFill="1" applyBorder="1" applyAlignment="1">
      <alignment vertical="center"/>
    </xf>
    <xf numFmtId="2" fontId="10" fillId="22" borderId="0" xfId="1" applyNumberFormat="1" applyFont="1" applyFill="1" applyBorder="1" applyAlignment="1">
      <alignment vertical="center"/>
    </xf>
    <xf numFmtId="0" fontId="10" fillId="2" borderId="37" xfId="1" applyFont="1" applyBorder="1" applyAlignment="1">
      <alignment horizontal="center" vertical="center" wrapText="1"/>
    </xf>
    <xf numFmtId="0" fontId="10" fillId="2" borderId="12" xfId="1" applyFont="1" applyFill="1" applyBorder="1" applyAlignment="1">
      <alignment vertical="center" wrapText="1"/>
    </xf>
    <xf numFmtId="0" fontId="52" fillId="2" borderId="12" xfId="1" applyFont="1" applyFill="1" applyBorder="1" applyAlignment="1">
      <alignment vertical="center"/>
    </xf>
    <xf numFmtId="2" fontId="10" fillId="16" borderId="0" xfId="1" applyNumberFormat="1" applyFont="1" applyFill="1" applyBorder="1" applyAlignment="1">
      <alignment vertical="center" wrapText="1"/>
    </xf>
    <xf numFmtId="10" fontId="0" fillId="0" borderId="37" xfId="0" applyNumberFormat="1" applyBorder="1"/>
    <xf numFmtId="0" fontId="7" fillId="70" borderId="0" xfId="57" applyFont="1" applyAlignment="1">
      <alignment horizontal="center" vertical="center" wrapText="1"/>
    </xf>
    <xf numFmtId="0" fontId="56" fillId="15" borderId="0" xfId="0" applyFont="1" applyFill="1" applyAlignment="1">
      <alignment vertical="center" wrapText="1"/>
    </xf>
    <xf numFmtId="0" fontId="56" fillId="15" borderId="0" xfId="0" applyFont="1" applyFill="1" applyAlignment="1">
      <alignment vertical="center"/>
    </xf>
    <xf numFmtId="0" fontId="16" fillId="14" borderId="40" xfId="0" applyFont="1" applyFill="1" applyBorder="1" applyAlignment="1">
      <alignment horizontal="center" vertical="center"/>
    </xf>
    <xf numFmtId="0" fontId="7" fillId="76" borderId="52" xfId="0" applyFont="1" applyFill="1" applyBorder="1"/>
    <xf numFmtId="165" fontId="57" fillId="17" borderId="53" xfId="0" applyNumberFormat="1" applyFont="1" applyFill="1" applyBorder="1" applyAlignment="1">
      <alignment horizontal="center" vertical="center"/>
    </xf>
    <xf numFmtId="170" fontId="58" fillId="44" borderId="23" xfId="45" applyNumberFormat="1" applyFont="1" applyAlignment="1">
      <alignment horizontal="center" vertical="center"/>
    </xf>
    <xf numFmtId="0" fontId="0" fillId="17" borderId="12" xfId="7" applyFont="1" applyFill="1" applyBorder="1" applyAlignment="1">
      <alignment wrapText="1"/>
    </xf>
    <xf numFmtId="9" fontId="39" fillId="77" borderId="12" xfId="0" applyNumberFormat="1" applyFont="1" applyFill="1" applyBorder="1" applyAlignment="1">
      <alignment horizontal="center" wrapText="1"/>
    </xf>
    <xf numFmtId="0" fontId="0" fillId="0" borderId="13" xfId="0" applyFill="1" applyBorder="1"/>
    <xf numFmtId="0" fontId="4" fillId="0" borderId="52" xfId="0" applyFont="1" applyBorder="1"/>
    <xf numFmtId="170" fontId="4" fillId="0" borderId="52" xfId="0" applyNumberFormat="1" applyFont="1" applyBorder="1"/>
    <xf numFmtId="0" fontId="7" fillId="18" borderId="52" xfId="7" applyFont="1" applyBorder="1"/>
    <xf numFmtId="0" fontId="4" fillId="0" borderId="52" xfId="0" applyFont="1" applyBorder="1" applyAlignment="1">
      <alignment wrapText="1"/>
    </xf>
    <xf numFmtId="0" fontId="16" fillId="15" borderId="0" xfId="0" applyFont="1" applyFill="1" applyAlignment="1">
      <alignment wrapText="1"/>
    </xf>
    <xf numFmtId="0" fontId="13" fillId="36" borderId="4" xfId="3" applyFont="1" applyFill="1" applyBorder="1" applyAlignment="1">
      <alignment horizontal="center" vertical="center" wrapText="1"/>
    </xf>
    <xf numFmtId="0" fontId="13" fillId="9" borderId="12" xfId="0" applyFont="1" applyFill="1" applyBorder="1" applyAlignment="1">
      <alignment wrapText="1"/>
    </xf>
    <xf numFmtId="0" fontId="0" fillId="0" borderId="0" xfId="0" applyAlignment="1">
      <alignment wrapText="1"/>
    </xf>
    <xf numFmtId="0" fontId="14" fillId="17" borderId="59" xfId="2" applyFont="1" applyFill="1" applyBorder="1" applyAlignment="1">
      <alignment horizontal="center" vertical="center" wrapText="1"/>
    </xf>
    <xf numFmtId="0" fontId="7" fillId="19" borderId="3" xfId="0" applyFont="1" applyFill="1" applyBorder="1" applyAlignment="1">
      <alignment horizontal="center" wrapText="1"/>
    </xf>
    <xf numFmtId="0" fontId="7" fillId="0" borderId="3" xfId="0" applyFont="1" applyBorder="1" applyAlignment="1">
      <alignment horizontal="center" wrapText="1"/>
    </xf>
    <xf numFmtId="0" fontId="0" fillId="0" borderId="3" xfId="0" applyFont="1" applyBorder="1" applyAlignment="1">
      <alignment wrapText="1"/>
    </xf>
    <xf numFmtId="0" fontId="10" fillId="2" borderId="67" xfId="1" applyFont="1" applyFill="1" applyBorder="1" applyAlignment="1">
      <alignment vertical="center" wrapText="1"/>
    </xf>
    <xf numFmtId="0" fontId="10" fillId="2" borderId="68" xfId="1" applyFont="1" applyFill="1" applyBorder="1" applyAlignment="1">
      <alignment horizontal="center" vertical="center" wrapText="1"/>
    </xf>
    <xf numFmtId="0" fontId="0" fillId="0" borderId="0" xfId="0" applyFill="1" applyAlignment="1">
      <alignment wrapText="1"/>
    </xf>
    <xf numFmtId="0" fontId="7" fillId="8" borderId="12" xfId="0" applyFont="1" applyFill="1" applyBorder="1" applyAlignment="1">
      <alignment horizontal="center" vertical="center" wrapText="1"/>
    </xf>
    <xf numFmtId="0" fontId="16" fillId="9" borderId="12" xfId="0" applyFont="1" applyFill="1" applyBorder="1" applyAlignment="1">
      <alignment horizontal="center" vertical="center" wrapText="1"/>
    </xf>
    <xf numFmtId="0" fontId="7" fillId="18" borderId="12" xfId="7" applyFont="1" applyBorder="1" applyAlignment="1">
      <alignment wrapText="1"/>
    </xf>
    <xf numFmtId="0" fontId="0" fillId="18" borderId="12" xfId="7" applyFont="1" applyBorder="1" applyAlignment="1">
      <alignment wrapText="1"/>
    </xf>
    <xf numFmtId="0" fontId="7" fillId="77" borderId="12" xfId="0" applyFont="1" applyFill="1" applyBorder="1" applyAlignment="1">
      <alignment wrapText="1"/>
    </xf>
    <xf numFmtId="0" fontId="0" fillId="0" borderId="0" xfId="0" applyBorder="1" applyAlignment="1">
      <alignment wrapText="1"/>
    </xf>
    <xf numFmtId="0" fontId="0" fillId="15" borderId="12" xfId="7" applyFont="1" applyFill="1" applyBorder="1" applyAlignment="1">
      <alignment wrapText="1"/>
    </xf>
    <xf numFmtId="0" fontId="0" fillId="15" borderId="12" xfId="7" applyFont="1" applyFill="1" applyBorder="1" applyAlignment="1">
      <alignment horizontal="center" vertical="center" wrapText="1"/>
    </xf>
    <xf numFmtId="0" fontId="0" fillId="15" borderId="12" xfId="7" applyFont="1" applyFill="1" applyBorder="1" applyAlignment="1">
      <alignment horizontal="center" wrapText="1"/>
    </xf>
    <xf numFmtId="10" fontId="0" fillId="77" borderId="12" xfId="0" applyNumberFormat="1" applyFill="1" applyBorder="1" applyAlignment="1">
      <alignment wrapText="1"/>
    </xf>
    <xf numFmtId="0" fontId="0" fillId="8" borderId="12" xfId="0" applyFont="1" applyFill="1" applyBorder="1" applyAlignment="1">
      <alignment wrapText="1"/>
    </xf>
    <xf numFmtId="0" fontId="0" fillId="77" borderId="12" xfId="0" applyFont="1" applyFill="1" applyBorder="1" applyAlignment="1">
      <alignment wrapText="1"/>
    </xf>
    <xf numFmtId="0" fontId="0" fillId="78" borderId="12" xfId="0" applyFont="1" applyFill="1" applyBorder="1" applyAlignment="1">
      <alignment wrapText="1"/>
    </xf>
    <xf numFmtId="0" fontId="7" fillId="65" borderId="0" xfId="56" applyFont="1" applyAlignment="1">
      <alignment horizontal="center" wrapText="1"/>
    </xf>
    <xf numFmtId="0" fontId="16" fillId="29" borderId="37" xfId="0" applyFont="1" applyFill="1" applyBorder="1" applyAlignment="1">
      <alignment horizontal="center" vertical="center"/>
    </xf>
    <xf numFmtId="0" fontId="7" fillId="11" borderId="37" xfId="0" applyFont="1" applyFill="1" applyBorder="1"/>
    <xf numFmtId="0" fontId="7" fillId="61" borderId="35" xfId="0" applyFont="1" applyFill="1" applyBorder="1"/>
    <xf numFmtId="0" fontId="7" fillId="61" borderId="37" xfId="0" applyFont="1" applyFill="1" applyBorder="1" applyAlignment="1">
      <alignment vertical="center"/>
    </xf>
    <xf numFmtId="9" fontId="16" fillId="29" borderId="37" xfId="0" applyNumberFormat="1" applyFont="1" applyFill="1" applyBorder="1" applyAlignment="1">
      <alignment horizontal="center" vertical="center"/>
    </xf>
    <xf numFmtId="0" fontId="16" fillId="17" borderId="37" xfId="2" applyFont="1" applyFill="1" applyBorder="1" applyAlignment="1">
      <alignment horizontal="center" vertical="center" wrapText="1"/>
    </xf>
    <xf numFmtId="0" fontId="16" fillId="64" borderId="37" xfId="2" applyFont="1" applyFill="1" applyBorder="1" applyAlignment="1">
      <alignment horizontal="center" vertical="center" wrapText="1"/>
    </xf>
    <xf numFmtId="0" fontId="7" fillId="9" borderId="34" xfId="0" applyFont="1" applyFill="1" applyBorder="1" applyAlignment="1">
      <alignment horizontal="center" vertical="center"/>
    </xf>
    <xf numFmtId="0" fontId="7" fillId="8" borderId="34" xfId="0" applyFont="1" applyFill="1" applyBorder="1"/>
    <xf numFmtId="0" fontId="7" fillId="8" borderId="37" xfId="0" applyFont="1" applyFill="1" applyBorder="1" applyAlignment="1">
      <alignment horizontal="center"/>
    </xf>
    <xf numFmtId="0" fontId="7" fillId="0" borderId="37" xfId="0" applyFont="1" applyBorder="1"/>
    <xf numFmtId="0" fontId="16" fillId="29" borderId="34" xfId="0" applyFont="1" applyFill="1" applyBorder="1" applyAlignment="1">
      <alignment horizontal="center" vertical="center"/>
    </xf>
    <xf numFmtId="0" fontId="16" fillId="29" borderId="37" xfId="0" applyFont="1" applyFill="1" applyBorder="1" applyAlignment="1">
      <alignment horizontal="center"/>
    </xf>
    <xf numFmtId="9" fontId="16" fillId="62" borderId="37" xfId="0" applyNumberFormat="1" applyFont="1" applyFill="1" applyBorder="1" applyAlignment="1">
      <alignment horizontal="center"/>
    </xf>
    <xf numFmtId="9" fontId="7" fillId="62" borderId="37" xfId="0" applyNumberFormat="1" applyFont="1" applyFill="1" applyBorder="1" applyAlignment="1">
      <alignment horizontal="center"/>
    </xf>
    <xf numFmtId="0" fontId="16" fillId="25" borderId="34" xfId="0" applyFont="1" applyFill="1" applyBorder="1" applyAlignment="1"/>
    <xf numFmtId="0" fontId="16" fillId="26" borderId="37" xfId="0" applyFont="1" applyFill="1" applyBorder="1" applyAlignment="1">
      <alignment horizontal="center"/>
    </xf>
    <xf numFmtId="0" fontId="16" fillId="27" borderId="37" xfId="0" applyFont="1" applyFill="1" applyBorder="1" applyAlignment="1">
      <alignment horizontal="center"/>
    </xf>
    <xf numFmtId="0" fontId="16" fillId="63" borderId="34" xfId="0" applyFont="1" applyFill="1" applyBorder="1" applyAlignment="1">
      <alignment horizontal="center" wrapText="1"/>
    </xf>
    <xf numFmtId="0" fontId="16" fillId="63" borderId="37" xfId="0" applyFont="1" applyFill="1" applyBorder="1" applyAlignment="1">
      <alignment horizontal="center" wrapText="1"/>
    </xf>
    <xf numFmtId="0" fontId="7" fillId="0" borderId="35" xfId="0" applyFont="1" applyBorder="1"/>
    <xf numFmtId="9" fontId="7" fillId="62" borderId="35" xfId="0" applyNumberFormat="1" applyFont="1" applyFill="1" applyBorder="1"/>
    <xf numFmtId="2" fontId="53" fillId="2" borderId="12" xfId="1" applyNumberFormat="1" applyFont="1" applyBorder="1" applyAlignment="1">
      <alignment vertical="center"/>
    </xf>
    <xf numFmtId="0" fontId="9" fillId="70" borderId="12" xfId="57" applyFont="1" applyBorder="1" applyAlignment="1">
      <alignment vertical="center" wrapText="1"/>
    </xf>
    <xf numFmtId="0" fontId="7" fillId="13" borderId="12" xfId="0" applyFont="1" applyFill="1" applyBorder="1" applyAlignment="1">
      <alignment vertical="center" wrapText="1"/>
    </xf>
    <xf numFmtId="0" fontId="7" fillId="13" borderId="12" xfId="0" applyFont="1" applyFill="1" applyBorder="1" applyAlignment="1">
      <alignment horizontal="center" vertical="center" wrapText="1"/>
    </xf>
    <xf numFmtId="0" fontId="7" fillId="15" borderId="12" xfId="0" applyFont="1" applyFill="1" applyBorder="1" applyAlignment="1">
      <alignment horizontal="center" vertical="center"/>
    </xf>
    <xf numFmtId="2" fontId="11" fillId="2" borderId="12" xfId="1" applyNumberFormat="1" applyFont="1" applyBorder="1"/>
    <xf numFmtId="10" fontId="0" fillId="0" borderId="12" xfId="0" applyNumberFormat="1" applyBorder="1"/>
    <xf numFmtId="0" fontId="7" fillId="15" borderId="15" xfId="0" applyFont="1" applyFill="1" applyBorder="1" applyAlignment="1">
      <alignment vertical="center" wrapText="1"/>
    </xf>
    <xf numFmtId="2" fontId="59" fillId="2" borderId="15" xfId="1" applyNumberFormat="1" applyFont="1" applyBorder="1" applyAlignment="1">
      <alignment vertical="center"/>
    </xf>
    <xf numFmtId="0" fontId="11" fillId="73" borderId="23" xfId="0" applyFont="1" applyFill="1" applyBorder="1" applyAlignment="1">
      <alignment horizontal="center" vertical="center" wrapText="1"/>
    </xf>
    <xf numFmtId="0" fontId="11" fillId="36" borderId="3" xfId="1" applyFont="1" applyFill="1" applyBorder="1" applyAlignment="1">
      <alignment horizontal="center" vertical="center"/>
    </xf>
    <xf numFmtId="0" fontId="60" fillId="79" borderId="23" xfId="45" applyNumberFormat="1" applyFont="1" applyFill="1" applyAlignment="1">
      <alignment horizontal="center" vertical="center" wrapText="1"/>
    </xf>
    <xf numFmtId="44" fontId="0" fillId="0" borderId="0" xfId="0" applyNumberFormat="1" applyAlignment="1">
      <alignment wrapText="1"/>
    </xf>
    <xf numFmtId="0" fontId="20" fillId="36" borderId="60" xfId="0" applyFont="1" applyFill="1" applyBorder="1" applyAlignment="1">
      <alignment vertical="center"/>
    </xf>
    <xf numFmtId="165" fontId="16" fillId="17" borderId="54" xfId="0" applyNumberFormat="1" applyFont="1" applyFill="1" applyBorder="1" applyAlignment="1">
      <alignment horizontal="center" vertical="center" wrapText="1"/>
    </xf>
    <xf numFmtId="0" fontId="7" fillId="0" borderId="13" xfId="0" applyFont="1" applyFill="1" applyBorder="1" applyAlignment="1"/>
    <xf numFmtId="0" fontId="7" fillId="0" borderId="21" xfId="0" applyFont="1" applyFill="1" applyBorder="1" applyAlignment="1"/>
    <xf numFmtId="0" fontId="7" fillId="0" borderId="74" xfId="0" applyFont="1" applyFill="1" applyBorder="1" applyAlignment="1"/>
    <xf numFmtId="4" fontId="0" fillId="0" borderId="0" xfId="0" applyNumberFormat="1"/>
    <xf numFmtId="4" fontId="0" fillId="0" borderId="37" xfId="0" applyNumberFormat="1" applyBorder="1"/>
    <xf numFmtId="4" fontId="0" fillId="0" borderId="0" xfId="0" applyNumberFormat="1" applyFill="1"/>
    <xf numFmtId="171" fontId="0" fillId="5" borderId="0" xfId="0" applyNumberFormat="1" applyFill="1"/>
    <xf numFmtId="0" fontId="7" fillId="29" borderId="12" xfId="0" applyFont="1" applyFill="1" applyBorder="1" applyAlignment="1">
      <alignment horizontal="center" vertical="center" wrapText="1"/>
    </xf>
    <xf numFmtId="0" fontId="0" fillId="82" borderId="12" xfId="0" applyNumberFormat="1" applyFont="1" applyFill="1" applyBorder="1" applyAlignment="1">
      <alignment horizontal="center" vertical="center" wrapText="1"/>
    </xf>
    <xf numFmtId="0" fontId="0" fillId="82" borderId="12" xfId="0" applyFont="1" applyFill="1" applyBorder="1" applyAlignment="1">
      <alignment horizontal="center" vertical="center" wrapText="1"/>
    </xf>
    <xf numFmtId="0" fontId="0" fillId="29" borderId="12" xfId="0" applyFont="1" applyFill="1" applyBorder="1" applyAlignment="1">
      <alignment horizontal="center" vertical="center" wrapText="1"/>
    </xf>
    <xf numFmtId="10" fontId="0" fillId="82" borderId="49" xfId="0" applyNumberFormat="1" applyFont="1" applyFill="1" applyBorder="1" applyAlignment="1">
      <alignment horizontal="center" vertical="center"/>
    </xf>
    <xf numFmtId="0" fontId="11" fillId="83" borderId="23" xfId="0" applyFont="1" applyFill="1" applyBorder="1" applyAlignment="1">
      <alignment horizontal="center" vertical="center"/>
    </xf>
    <xf numFmtId="10" fontId="0" fillId="29" borderId="49" xfId="0" applyNumberFormat="1" applyFont="1" applyFill="1" applyBorder="1" applyAlignment="1">
      <alignment horizontal="center" vertical="center"/>
    </xf>
    <xf numFmtId="0" fontId="3" fillId="0" borderId="0" xfId="60"/>
    <xf numFmtId="0" fontId="61" fillId="0" borderId="0" xfId="60" applyFont="1"/>
    <xf numFmtId="0" fontId="62" fillId="0" borderId="78" xfId="60" applyFont="1" applyBorder="1" applyAlignment="1">
      <alignment vertical="center" wrapText="1"/>
    </xf>
    <xf numFmtId="0" fontId="63" fillId="0" borderId="79" xfId="60" applyFont="1" applyBorder="1" applyAlignment="1">
      <alignment vertical="center" wrapText="1"/>
    </xf>
    <xf numFmtId="0" fontId="64" fillId="0" borderId="78" xfId="60" applyFont="1" applyBorder="1" applyAlignment="1">
      <alignment vertical="center" wrapText="1"/>
    </xf>
    <xf numFmtId="0" fontId="63" fillId="0" borderId="78" xfId="60" applyFont="1" applyBorder="1" applyAlignment="1">
      <alignment vertical="center" wrapText="1"/>
    </xf>
    <xf numFmtId="11" fontId="65" fillId="0" borderId="78" xfId="60" applyNumberFormat="1" applyFont="1" applyBorder="1" applyAlignment="1">
      <alignment vertical="center" wrapText="1"/>
    </xf>
    <xf numFmtId="0" fontId="64" fillId="0" borderId="79" xfId="60" applyFont="1" applyBorder="1" applyAlignment="1">
      <alignment vertical="center" wrapText="1"/>
    </xf>
    <xf numFmtId="11" fontId="65" fillId="0" borderId="80" xfId="60" applyNumberFormat="1" applyFont="1" applyBorder="1" applyAlignment="1">
      <alignment vertical="center" wrapText="1"/>
    </xf>
    <xf numFmtId="170" fontId="68" fillId="44" borderId="23" xfId="45" applyNumberFormat="1" applyFont="1" applyAlignment="1">
      <alignment horizontal="center" vertical="center" wrapText="1"/>
    </xf>
    <xf numFmtId="0" fontId="3" fillId="0" borderId="78" xfId="60" applyBorder="1" applyAlignment="1">
      <alignment vertical="center" wrapText="1"/>
    </xf>
    <xf numFmtId="170" fontId="44" fillId="2" borderId="12" xfId="1" applyNumberFormat="1" applyFont="1" applyBorder="1"/>
    <xf numFmtId="0" fontId="0" fillId="0" borderId="21" xfId="0" applyBorder="1"/>
    <xf numFmtId="0" fontId="69" fillId="0" borderId="89" xfId="0" applyFont="1" applyBorder="1" applyAlignment="1">
      <alignment vertical="center" wrapText="1"/>
    </xf>
    <xf numFmtId="0" fontId="70" fillId="0" borderId="87" xfId="0" applyFont="1" applyBorder="1" applyAlignment="1">
      <alignment vertical="center" wrapText="1"/>
    </xf>
    <xf numFmtId="174" fontId="65" fillId="0" borderId="80" xfId="60" applyNumberFormat="1" applyFont="1" applyBorder="1" applyAlignment="1">
      <alignment vertical="center" wrapText="1"/>
    </xf>
    <xf numFmtId="0" fontId="70" fillId="0" borderId="78" xfId="0" applyFont="1" applyBorder="1" applyAlignment="1">
      <alignment horizontal="center" vertical="center" wrapText="1"/>
    </xf>
    <xf numFmtId="0" fontId="63" fillId="0" borderId="78" xfId="0" applyFont="1" applyBorder="1" applyAlignment="1">
      <alignment vertical="center" wrapText="1"/>
    </xf>
    <xf numFmtId="0" fontId="40" fillId="29" borderId="0" xfId="0" applyFont="1" applyFill="1" applyAlignment="1">
      <alignment horizontal="center" wrapText="1"/>
    </xf>
    <xf numFmtId="0" fontId="7" fillId="29" borderId="64" xfId="0" applyFont="1" applyFill="1" applyBorder="1" applyAlignment="1">
      <alignment horizontal="center" vertical="center" wrapText="1"/>
    </xf>
    <xf numFmtId="0" fontId="11" fillId="29" borderId="63" xfId="1" applyFont="1" applyFill="1" applyBorder="1" applyAlignment="1">
      <alignment horizontal="center" vertical="center" wrapText="1"/>
    </xf>
    <xf numFmtId="0" fontId="11" fillId="85" borderId="63" xfId="0" applyFont="1" applyFill="1" applyBorder="1" applyAlignment="1">
      <alignment horizontal="center" vertical="center" wrapText="1"/>
    </xf>
    <xf numFmtId="0" fontId="11" fillId="82" borderId="63" xfId="0" applyFont="1" applyFill="1" applyBorder="1" applyAlignment="1">
      <alignment horizontal="center" vertical="center" wrapText="1"/>
    </xf>
    <xf numFmtId="2" fontId="11" fillId="82" borderId="63" xfId="0" applyNumberFormat="1" applyFont="1" applyFill="1" applyBorder="1" applyAlignment="1">
      <alignment horizontal="center" vertical="center" wrapText="1"/>
    </xf>
    <xf numFmtId="0" fontId="11" fillId="83" borderId="63" xfId="0" applyFont="1" applyFill="1" applyBorder="1" applyAlignment="1">
      <alignment horizontal="center" vertical="center"/>
    </xf>
    <xf numFmtId="0" fontId="11" fillId="83" borderId="69" xfId="0" applyFont="1" applyFill="1" applyBorder="1" applyAlignment="1">
      <alignment horizontal="center" vertical="center"/>
    </xf>
    <xf numFmtId="0" fontId="11" fillId="83" borderId="69" xfId="0" applyFont="1" applyFill="1" applyBorder="1" applyAlignment="1">
      <alignment horizontal="center" vertical="center" wrapText="1"/>
    </xf>
    <xf numFmtId="0" fontId="11" fillId="86" borderId="69" xfId="45" applyFont="1" applyFill="1" applyBorder="1" applyAlignment="1">
      <alignment horizontal="center" vertical="center"/>
    </xf>
    <xf numFmtId="0" fontId="7" fillId="29" borderId="65" xfId="0" applyFont="1" applyFill="1" applyBorder="1" applyAlignment="1">
      <alignment horizontal="center" vertical="center" wrapText="1"/>
    </xf>
    <xf numFmtId="0" fontId="11" fillId="29" borderId="63" xfId="0" applyFont="1" applyFill="1" applyBorder="1" applyAlignment="1">
      <alignment horizontal="center" vertical="center" wrapText="1"/>
    </xf>
    <xf numFmtId="2" fontId="11" fillId="29" borderId="63" xfId="0" applyNumberFormat="1" applyFont="1" applyFill="1" applyBorder="1" applyAlignment="1">
      <alignment horizontal="center" vertical="center" wrapText="1"/>
    </xf>
    <xf numFmtId="0" fontId="11" fillId="29" borderId="63" xfId="0" applyFont="1" applyFill="1" applyBorder="1" applyAlignment="1">
      <alignment horizontal="center" vertical="center"/>
    </xf>
    <xf numFmtId="0" fontId="11" fillId="29" borderId="63" xfId="45" applyFont="1" applyFill="1" applyBorder="1" applyAlignment="1">
      <alignment horizontal="center" vertical="center"/>
    </xf>
    <xf numFmtId="0" fontId="11" fillId="86" borderId="63" xfId="45" applyFont="1" applyFill="1" applyBorder="1" applyAlignment="1">
      <alignment horizontal="center" vertical="center"/>
    </xf>
    <xf numFmtId="0" fontId="7" fillId="29" borderId="66" xfId="0" applyFont="1" applyFill="1" applyBorder="1" applyAlignment="1">
      <alignment horizontal="center" vertical="center" wrapText="1"/>
    </xf>
    <xf numFmtId="0" fontId="11" fillId="29" borderId="70" xfId="0" applyFont="1" applyFill="1" applyBorder="1" applyAlignment="1">
      <alignment horizontal="center" vertical="center"/>
    </xf>
    <xf numFmtId="0" fontId="11" fillId="29" borderId="70" xfId="45" applyFont="1" applyFill="1" applyBorder="1" applyAlignment="1">
      <alignment horizontal="center" vertical="center"/>
    </xf>
    <xf numFmtId="0" fontId="7" fillId="29" borderId="12" xfId="0" applyFont="1" applyFill="1" applyBorder="1" applyAlignment="1">
      <alignment wrapText="1"/>
    </xf>
    <xf numFmtId="0" fontId="0" fillId="29" borderId="12" xfId="0" applyFill="1" applyBorder="1" applyAlignment="1">
      <alignment wrapText="1"/>
    </xf>
    <xf numFmtId="11" fontId="3" fillId="29" borderId="78" xfId="60" applyNumberFormat="1" applyFill="1" applyBorder="1"/>
    <xf numFmtId="0" fontId="3" fillId="29" borderId="78" xfId="60" applyNumberFormat="1" applyFill="1" applyBorder="1"/>
    <xf numFmtId="0" fontId="0" fillId="0" borderId="84" xfId="0" applyBorder="1"/>
    <xf numFmtId="0" fontId="0" fillId="0" borderId="85" xfId="0" applyBorder="1"/>
    <xf numFmtId="0" fontId="67" fillId="0" borderId="92" xfId="60" applyFont="1" applyBorder="1" applyAlignment="1">
      <alignment wrapText="1"/>
    </xf>
    <xf numFmtId="10" fontId="0" fillId="0" borderId="15" xfId="0" applyNumberFormat="1" applyBorder="1"/>
    <xf numFmtId="2" fontId="16" fillId="3" borderId="94" xfId="2" applyNumberFormat="1" applyFont="1" applyBorder="1"/>
    <xf numFmtId="4" fontId="16" fillId="3" borderId="94" xfId="2" applyNumberFormat="1" applyFont="1" applyBorder="1"/>
    <xf numFmtId="2" fontId="16" fillId="3" borderId="93" xfId="2" applyNumberFormat="1" applyFont="1" applyBorder="1"/>
    <xf numFmtId="0" fontId="16" fillId="3" borderId="0" xfId="2" applyFont="1" applyBorder="1"/>
    <xf numFmtId="0" fontId="3" fillId="0" borderId="83" xfId="60" applyBorder="1" applyAlignment="1"/>
    <xf numFmtId="0" fontId="69" fillId="0" borderId="76" xfId="0" applyFont="1" applyBorder="1" applyAlignment="1">
      <alignment vertical="center" wrapText="1"/>
    </xf>
    <xf numFmtId="0" fontId="64" fillId="0" borderId="78" xfId="0" applyFont="1" applyBorder="1" applyAlignment="1">
      <alignment horizontal="center" vertical="center" wrapText="1"/>
    </xf>
    <xf numFmtId="0" fontId="70" fillId="0" borderId="78" xfId="0" applyFont="1" applyBorder="1" applyAlignment="1">
      <alignment vertical="center" wrapText="1"/>
    </xf>
    <xf numFmtId="0" fontId="0" fillId="82" borderId="78" xfId="0" applyFont="1" applyFill="1" applyBorder="1" applyAlignment="1">
      <alignment horizontal="center" vertical="center" wrapText="1"/>
    </xf>
    <xf numFmtId="0" fontId="0" fillId="29" borderId="78" xfId="0" applyFont="1" applyFill="1" applyBorder="1" applyAlignment="1">
      <alignment horizontal="center" vertical="center" wrapText="1"/>
    </xf>
    <xf numFmtId="0" fontId="16" fillId="29" borderId="37" xfId="2" applyNumberFormat="1" applyFont="1" applyFill="1" applyBorder="1" applyAlignment="1">
      <alignment horizontal="center" vertical="center" wrapText="1"/>
    </xf>
    <xf numFmtId="172" fontId="3" fillId="0" borderId="86" xfId="60" applyNumberFormat="1" applyBorder="1"/>
    <xf numFmtId="172" fontId="3" fillId="0" borderId="87" xfId="60" applyNumberFormat="1" applyBorder="1"/>
    <xf numFmtId="172" fontId="3" fillId="0" borderId="80" xfId="60" applyNumberFormat="1" applyBorder="1"/>
    <xf numFmtId="0" fontId="71" fillId="29" borderId="78" xfId="60" applyFont="1" applyFill="1" applyBorder="1"/>
    <xf numFmtId="0" fontId="7" fillId="0" borderId="78" xfId="0" applyFont="1" applyFill="1" applyBorder="1" applyAlignment="1"/>
    <xf numFmtId="0" fontId="7" fillId="0" borderId="78" xfId="0" applyFont="1" applyBorder="1" applyAlignment="1"/>
    <xf numFmtId="0" fontId="64" fillId="0" borderId="86" xfId="60" applyFont="1" applyBorder="1" applyAlignment="1">
      <alignment vertical="center" wrapText="1"/>
    </xf>
    <xf numFmtId="1" fontId="3" fillId="0" borderId="78" xfId="60" applyNumberFormat="1" applyBorder="1"/>
    <xf numFmtId="172" fontId="3" fillId="0" borderId="78" xfId="60" applyNumberFormat="1" applyBorder="1"/>
    <xf numFmtId="173" fontId="3" fillId="0" borderId="78" xfId="60" applyNumberFormat="1" applyBorder="1"/>
    <xf numFmtId="10" fontId="3" fillId="0" borderId="78" xfId="60" applyNumberFormat="1" applyBorder="1"/>
    <xf numFmtId="9" fontId="7" fillId="82" borderId="5" xfId="0" applyNumberFormat="1" applyFont="1" applyFill="1" applyBorder="1" applyAlignment="1">
      <alignment horizontal="center" wrapText="1"/>
    </xf>
    <xf numFmtId="9" fontId="7" fillId="29" borderId="5" xfId="0" applyNumberFormat="1" applyFont="1" applyFill="1" applyBorder="1" applyAlignment="1">
      <alignment horizontal="center" wrapText="1"/>
    </xf>
    <xf numFmtId="0" fontId="74" fillId="0" borderId="96" xfId="0" applyFont="1" applyBorder="1" applyAlignment="1">
      <alignment vertical="center" wrapText="1"/>
    </xf>
    <xf numFmtId="170" fontId="74" fillId="0" borderId="96" xfId="0" applyNumberFormat="1" applyFont="1" applyBorder="1" applyAlignment="1">
      <alignment vertical="center" wrapText="1"/>
    </xf>
    <xf numFmtId="0" fontId="74" fillId="0" borderId="0" xfId="62" applyFont="1"/>
    <xf numFmtId="0" fontId="76" fillId="0" borderId="0" xfId="0" applyFont="1"/>
    <xf numFmtId="0" fontId="73" fillId="0" borderId="0" xfId="62" applyFont="1"/>
    <xf numFmtId="2" fontId="74" fillId="0" borderId="0" xfId="62" applyNumberFormat="1" applyFont="1"/>
    <xf numFmtId="0" fontId="76" fillId="0" borderId="0" xfId="0" applyFont="1" applyAlignment="1">
      <alignment wrapText="1"/>
    </xf>
    <xf numFmtId="0" fontId="74" fillId="0" borderId="96" xfId="0" applyFont="1" applyBorder="1" applyAlignment="1">
      <alignment vertical="top" wrapText="1"/>
    </xf>
    <xf numFmtId="0" fontId="66" fillId="76" borderId="52" xfId="0" applyFont="1" applyFill="1" applyBorder="1" applyAlignment="1">
      <alignment wrapText="1"/>
    </xf>
    <xf numFmtId="0" fontId="79" fillId="57" borderId="52" xfId="8" applyFont="1" applyFill="1" applyBorder="1" applyAlignment="1">
      <alignment wrapText="1"/>
    </xf>
    <xf numFmtId="0" fontId="76" fillId="0" borderId="52" xfId="0" applyFont="1" applyBorder="1" applyAlignment="1">
      <alignment wrapText="1"/>
    </xf>
    <xf numFmtId="170" fontId="76" fillId="29" borderId="52" xfId="0" applyNumberFormat="1" applyFont="1" applyFill="1" applyBorder="1" applyAlignment="1">
      <alignment wrapText="1"/>
    </xf>
    <xf numFmtId="0" fontId="66" fillId="18" borderId="52" xfId="7" applyFont="1" applyBorder="1" applyAlignment="1">
      <alignment wrapText="1"/>
    </xf>
    <xf numFmtId="0" fontId="66" fillId="18" borderId="52" xfId="7" applyFont="1" applyBorder="1" applyAlignment="1">
      <alignment horizontal="center" wrapText="1"/>
    </xf>
    <xf numFmtId="0" fontId="73" fillId="0" borderId="97" xfId="0" applyFont="1" applyBorder="1" applyAlignment="1">
      <alignment vertical="center" wrapText="1"/>
    </xf>
    <xf numFmtId="0" fontId="76" fillId="0" borderId="97" xfId="0" applyFont="1" applyBorder="1"/>
    <xf numFmtId="0" fontId="74" fillId="0" borderId="97" xfId="62" applyFont="1" applyBorder="1"/>
    <xf numFmtId="0" fontId="74" fillId="0" borderId="97" xfId="0" applyFont="1" applyBorder="1" applyAlignment="1">
      <alignment vertical="center" wrapText="1"/>
    </xf>
    <xf numFmtId="0" fontId="82" fillId="79" borderId="23" xfId="45" applyFont="1" applyFill="1" applyBorder="1" applyAlignment="1">
      <alignment horizontal="center" vertical="center"/>
    </xf>
    <xf numFmtId="0" fontId="82" fillId="79" borderId="23" xfId="45" applyFont="1" applyFill="1" applyBorder="1" applyAlignment="1">
      <alignment wrapText="1"/>
    </xf>
    <xf numFmtId="0" fontId="74" fillId="12" borderId="23" xfId="0" applyFont="1" applyFill="1" applyBorder="1" applyAlignment="1">
      <alignment vertical="center" wrapText="1"/>
    </xf>
    <xf numFmtId="0" fontId="74" fillId="12" borderId="23" xfId="0" applyFont="1" applyFill="1" applyBorder="1" applyAlignment="1">
      <alignment horizontal="center" vertical="center" wrapText="1"/>
    </xf>
    <xf numFmtId="0" fontId="83" fillId="44" borderId="23" xfId="45" applyFont="1" applyBorder="1" applyAlignment="1">
      <alignment wrapText="1"/>
    </xf>
    <xf numFmtId="170" fontId="77" fillId="44" borderId="23" xfId="45" applyNumberFormat="1" applyFont="1" applyBorder="1" applyAlignment="1">
      <alignment horizontal="center" vertical="center" wrapText="1"/>
    </xf>
    <xf numFmtId="0" fontId="82" fillId="81" borderId="23" xfId="45" applyFont="1" applyFill="1" applyBorder="1" applyAlignment="1">
      <alignment wrapText="1"/>
    </xf>
    <xf numFmtId="0" fontId="64" fillId="36" borderId="23" xfId="0" applyFont="1" applyFill="1" applyBorder="1" applyAlignment="1">
      <alignment vertical="center" wrapText="1"/>
    </xf>
    <xf numFmtId="0" fontId="64" fillId="36" borderId="23" xfId="0" applyFont="1" applyFill="1" applyBorder="1" applyAlignment="1">
      <alignment horizontal="center" vertical="center" wrapText="1"/>
    </xf>
    <xf numFmtId="0" fontId="76" fillId="36" borderId="23" xfId="0" applyFont="1" applyFill="1" applyBorder="1" applyAlignment="1">
      <alignment horizontal="center" vertical="center"/>
    </xf>
    <xf numFmtId="0" fontId="76" fillId="36" borderId="23" xfId="0" applyFont="1" applyFill="1" applyBorder="1" applyAlignment="1">
      <alignment horizontal="center" vertical="center" wrapText="1"/>
    </xf>
    <xf numFmtId="165" fontId="0" fillId="0" borderId="12" xfId="0" applyNumberFormat="1" applyBorder="1"/>
    <xf numFmtId="0" fontId="48" fillId="0" borderId="22" xfId="0" applyFont="1" applyFill="1" applyBorder="1"/>
    <xf numFmtId="176" fontId="0" fillId="0" borderId="22" xfId="0" applyNumberFormat="1" applyBorder="1"/>
    <xf numFmtId="170" fontId="78" fillId="83" borderId="23" xfId="0" applyNumberFormat="1" applyFont="1" applyFill="1" applyBorder="1" applyAlignment="1">
      <alignment horizontal="center" vertical="center" wrapText="1"/>
    </xf>
    <xf numFmtId="0" fontId="77" fillId="90" borderId="23" xfId="45" applyFont="1" applyFill="1" applyBorder="1" applyAlignment="1">
      <alignment wrapText="1"/>
    </xf>
    <xf numFmtId="0" fontId="76" fillId="29" borderId="23" xfId="0" applyFont="1" applyFill="1" applyBorder="1"/>
    <xf numFmtId="0" fontId="76" fillId="29" borderId="23" xfId="0" applyFont="1" applyFill="1" applyBorder="1" applyAlignment="1">
      <alignment wrapText="1"/>
    </xf>
    <xf numFmtId="170" fontId="78" fillId="29" borderId="23" xfId="0" applyNumberFormat="1" applyFont="1" applyFill="1" applyBorder="1" applyAlignment="1">
      <alignment horizontal="center" vertical="center" wrapText="1"/>
    </xf>
    <xf numFmtId="0" fontId="76" fillId="29" borderId="0" xfId="0" applyFont="1" applyFill="1"/>
    <xf numFmtId="0" fontId="74" fillId="29" borderId="0" xfId="62" applyFont="1" applyFill="1"/>
    <xf numFmtId="0" fontId="18" fillId="12" borderId="94" xfId="0" applyFont="1" applyFill="1" applyBorder="1" applyAlignment="1">
      <alignment horizontal="center" vertical="center"/>
    </xf>
    <xf numFmtId="0" fontId="84" fillId="12" borderId="94" xfId="0" applyFont="1" applyFill="1" applyBorder="1" applyAlignment="1">
      <alignment horizontal="center" vertical="center" wrapText="1"/>
    </xf>
    <xf numFmtId="0" fontId="84" fillId="65" borderId="94" xfId="56" applyFont="1" applyBorder="1" applyAlignment="1">
      <alignment horizontal="center" vertical="center" wrapText="1"/>
    </xf>
    <xf numFmtId="0" fontId="0" fillId="0" borderId="0" xfId="0" applyAlignment="1">
      <alignment horizontal="center" vertical="center"/>
    </xf>
    <xf numFmtId="0" fontId="55" fillId="0" borderId="94" xfId="0" applyFont="1" applyBorder="1" applyAlignment="1">
      <alignment horizontal="center" vertical="center"/>
    </xf>
    <xf numFmtId="9" fontId="0" fillId="12" borderId="94" xfId="0" applyNumberFormat="1" applyFill="1" applyBorder="1" applyAlignment="1">
      <alignment horizontal="center" vertical="center"/>
    </xf>
    <xf numFmtId="0" fontId="0" fillId="12" borderId="94" xfId="0" applyNumberFormat="1" applyFill="1" applyBorder="1" applyAlignment="1">
      <alignment horizontal="center" vertical="center"/>
    </xf>
    <xf numFmtId="0" fontId="9" fillId="0" borderId="94" xfId="0" applyFont="1" applyBorder="1" applyAlignment="1">
      <alignment horizontal="center" vertical="center"/>
    </xf>
    <xf numFmtId="0" fontId="0" fillId="0" borderId="94" xfId="0" applyBorder="1" applyAlignment="1">
      <alignment horizontal="center" vertical="center"/>
    </xf>
    <xf numFmtId="2" fontId="0" fillId="0" borderId="52" xfId="0" applyNumberFormat="1" applyBorder="1" applyAlignment="1">
      <alignment horizontal="center" vertical="center"/>
    </xf>
    <xf numFmtId="0" fontId="16" fillId="14" borderId="52" xfId="0" applyFont="1" applyFill="1" applyBorder="1" applyAlignment="1">
      <alignment horizontal="center" vertical="center"/>
    </xf>
    <xf numFmtId="10" fontId="0" fillId="0" borderId="52" xfId="0" applyNumberFormat="1" applyBorder="1" applyAlignment="1">
      <alignment horizontal="center" vertical="center"/>
    </xf>
    <xf numFmtId="0" fontId="0" fillId="0" borderId="52" xfId="0" applyBorder="1" applyAlignment="1">
      <alignment horizontal="center" vertical="center"/>
    </xf>
    <xf numFmtId="170" fontId="0" fillId="0" borderId="52" xfId="0" applyNumberFormat="1" applyBorder="1" applyAlignment="1">
      <alignment horizontal="center" vertical="center"/>
    </xf>
    <xf numFmtId="2" fontId="0" fillId="0" borderId="52" xfId="0" applyNumberFormat="1" applyBorder="1" applyAlignment="1">
      <alignment horizontal="center" vertical="center" wrapText="1"/>
    </xf>
    <xf numFmtId="0" fontId="0" fillId="0" borderId="94" xfId="0" applyBorder="1" applyAlignment="1">
      <alignment horizontal="center" vertical="center" wrapText="1"/>
    </xf>
    <xf numFmtId="0" fontId="55" fillId="0" borderId="94" xfId="0" applyFont="1" applyBorder="1" applyAlignment="1">
      <alignment horizontal="center" vertical="center" wrapText="1"/>
    </xf>
    <xf numFmtId="0" fontId="11" fillId="91" borderId="23" xfId="0" applyFont="1" applyFill="1" applyBorder="1" applyAlignment="1">
      <alignment horizontal="center" vertical="center" wrapText="1"/>
    </xf>
    <xf numFmtId="178" fontId="54" fillId="15" borderId="52" xfId="0" applyNumberFormat="1" applyFont="1" applyFill="1" applyBorder="1" applyAlignment="1">
      <alignment horizontal="center"/>
    </xf>
    <xf numFmtId="164" fontId="3" fillId="0" borderId="78" xfId="60" applyNumberFormat="1" applyBorder="1"/>
    <xf numFmtId="4" fontId="0" fillId="82" borderId="12" xfId="0" applyNumberFormat="1" applyFont="1" applyFill="1" applyBorder="1" applyAlignment="1">
      <alignment horizontal="center" vertical="center" wrapText="1"/>
    </xf>
    <xf numFmtId="0" fontId="16" fillId="75" borderId="94" xfId="0" applyFont="1" applyFill="1" applyBorder="1" applyAlignment="1">
      <alignment horizontal="center" vertical="center"/>
    </xf>
    <xf numFmtId="177" fontId="0" fillId="0" borderId="94" xfId="0" applyNumberFormat="1" applyBorder="1" applyAlignment="1">
      <alignment horizontal="center" vertical="center"/>
    </xf>
    <xf numFmtId="177" fontId="16" fillId="31" borderId="94" xfId="0" applyNumberFormat="1" applyFont="1" applyFill="1" applyBorder="1" applyAlignment="1">
      <alignment horizontal="center" vertical="center"/>
    </xf>
    <xf numFmtId="177" fontId="9" fillId="0" borderId="94" xfId="0" applyNumberFormat="1" applyFont="1" applyBorder="1" applyAlignment="1">
      <alignment horizontal="center" vertical="center"/>
    </xf>
    <xf numFmtId="0" fontId="16" fillId="22" borderId="71" xfId="1" applyFont="1" applyFill="1" applyBorder="1" applyAlignment="1">
      <alignment vertical="center"/>
    </xf>
    <xf numFmtId="1" fontId="10" fillId="2" borderId="37" xfId="1" applyNumberFormat="1" applyFont="1" applyBorder="1" applyAlignment="1">
      <alignment horizontal="center" vertical="center" wrapText="1"/>
    </xf>
    <xf numFmtId="0" fontId="7" fillId="17" borderId="52" xfId="0" applyFont="1" applyFill="1" applyBorder="1"/>
    <xf numFmtId="0" fontId="70" fillId="29" borderId="78" xfId="0" applyFont="1" applyFill="1" applyBorder="1" applyAlignment="1">
      <alignment horizontal="center" vertical="center" wrapText="1"/>
    </xf>
    <xf numFmtId="11" fontId="65" fillId="29" borderId="78" xfId="60" applyNumberFormat="1" applyFont="1" applyFill="1" applyBorder="1" applyAlignment="1">
      <alignment vertical="center" wrapText="1"/>
    </xf>
    <xf numFmtId="0" fontId="64" fillId="29" borderId="78" xfId="0" applyFont="1" applyFill="1" applyBorder="1" applyAlignment="1">
      <alignment horizontal="center" vertical="center" wrapText="1"/>
    </xf>
    <xf numFmtId="11" fontId="70" fillId="29" borderId="78" xfId="0" applyNumberFormat="1" applyFont="1" applyFill="1" applyBorder="1" applyAlignment="1">
      <alignment horizontal="center" vertical="center" wrapText="1"/>
    </xf>
    <xf numFmtId="11" fontId="64" fillId="29" borderId="78" xfId="60" applyNumberFormat="1" applyFont="1" applyFill="1" applyBorder="1" applyAlignment="1">
      <alignment vertical="center" wrapText="1"/>
    </xf>
    <xf numFmtId="11" fontId="64" fillId="29" borderId="78" xfId="0" applyNumberFormat="1" applyFont="1" applyFill="1" applyBorder="1" applyAlignment="1">
      <alignment horizontal="center" vertical="center" wrapText="1"/>
    </xf>
    <xf numFmtId="0" fontId="3" fillId="0" borderId="83" xfId="60" applyBorder="1" applyAlignment="1">
      <alignment wrapText="1"/>
    </xf>
    <xf numFmtId="0" fontId="3" fillId="0" borderId="0" xfId="60" applyAlignment="1">
      <alignment wrapText="1"/>
    </xf>
    <xf numFmtId="0" fontId="55" fillId="84" borderId="102" xfId="0" applyFont="1" applyFill="1" applyBorder="1" applyAlignment="1">
      <alignment horizontal="center" vertical="center"/>
    </xf>
    <xf numFmtId="0" fontId="55" fillId="84" borderId="101" xfId="0" applyFont="1" applyFill="1" applyBorder="1" applyAlignment="1">
      <alignment horizontal="center" vertical="center"/>
    </xf>
    <xf numFmtId="0" fontId="19" fillId="0" borderId="15" xfId="0" applyFont="1" applyBorder="1"/>
    <xf numFmtId="0" fontId="7" fillId="15" borderId="103" xfId="0" applyFont="1" applyFill="1" applyBorder="1"/>
    <xf numFmtId="0" fontId="16" fillId="29" borderId="103" xfId="0" applyFont="1" applyFill="1" applyBorder="1" applyAlignment="1">
      <alignment horizontal="center" vertical="center" wrapText="1"/>
    </xf>
    <xf numFmtId="0" fontId="7" fillId="0" borderId="104" xfId="0" applyFont="1" applyBorder="1"/>
    <xf numFmtId="0" fontId="55" fillId="77" borderId="107" xfId="0" applyFont="1" applyFill="1" applyBorder="1" applyAlignment="1">
      <alignment horizontal="center" vertical="center" wrapText="1"/>
    </xf>
    <xf numFmtId="0" fontId="55" fillId="77" borderId="109" xfId="0" applyFont="1" applyFill="1" applyBorder="1" applyAlignment="1">
      <alignment horizontal="center" vertical="center" wrapText="1"/>
    </xf>
    <xf numFmtId="0" fontId="16" fillId="88" borderId="88" xfId="49" applyFont="1" applyFill="1" applyBorder="1" applyAlignment="1">
      <alignment vertical="center" wrapText="1"/>
    </xf>
    <xf numFmtId="175" fontId="16" fillId="87" borderId="29" xfId="49" applyNumberFormat="1" applyFont="1" applyFill="1"/>
    <xf numFmtId="175" fontId="16" fillId="87" borderId="108" xfId="49" applyNumberFormat="1" applyFont="1" applyFill="1" applyBorder="1" applyAlignment="1">
      <alignment wrapText="1"/>
    </xf>
    <xf numFmtId="0" fontId="16" fillId="87" borderId="110" xfId="49" applyFont="1" applyFill="1" applyBorder="1" applyAlignment="1">
      <alignment wrapText="1"/>
    </xf>
    <xf numFmtId="10" fontId="3" fillId="0" borderId="86" xfId="60" applyNumberFormat="1" applyBorder="1"/>
    <xf numFmtId="0" fontId="11" fillId="29" borderId="69" xfId="0" applyFont="1" applyFill="1" applyBorder="1" applyAlignment="1">
      <alignment horizontal="center" vertical="center"/>
    </xf>
    <xf numFmtId="0" fontId="14" fillId="17" borderId="0" xfId="2" applyFont="1" applyFill="1" applyAlignment="1">
      <alignment horizontal="center" vertical="center" wrapText="1"/>
    </xf>
    <xf numFmtId="0" fontId="74" fillId="29" borderId="97" xfId="0" applyFont="1" applyFill="1" applyBorder="1" applyAlignment="1">
      <alignment vertical="center" wrapText="1"/>
    </xf>
    <xf numFmtId="3" fontId="74" fillId="29" borderId="97" xfId="0" applyNumberFormat="1" applyFont="1" applyFill="1" applyBorder="1" applyAlignment="1">
      <alignment vertical="center" wrapText="1"/>
    </xf>
    <xf numFmtId="0" fontId="74" fillId="29" borderId="97" xfId="0" applyFont="1" applyFill="1" applyBorder="1" applyAlignment="1">
      <alignment horizontal="right" vertical="center" wrapText="1"/>
    </xf>
    <xf numFmtId="10" fontId="74" fillId="29" borderId="97" xfId="0" applyNumberFormat="1" applyFont="1" applyFill="1" applyBorder="1" applyAlignment="1">
      <alignment vertical="center" wrapText="1"/>
    </xf>
    <xf numFmtId="9" fontId="74" fillId="29" borderId="97" xfId="0" applyNumberFormat="1" applyFont="1" applyFill="1" applyBorder="1" applyAlignment="1">
      <alignment vertical="center" wrapText="1"/>
    </xf>
    <xf numFmtId="4" fontId="74" fillId="30" borderId="97" xfId="0" applyNumberFormat="1" applyFont="1" applyFill="1" applyBorder="1" applyAlignment="1">
      <alignment vertical="center" wrapText="1"/>
    </xf>
    <xf numFmtId="0" fontId="88" fillId="0" borderId="0" xfId="62" applyFont="1" applyAlignment="1">
      <alignment horizontal="center"/>
    </xf>
    <xf numFmtId="170" fontId="78" fillId="30" borderId="23" xfId="0" applyNumberFormat="1" applyFont="1" applyFill="1" applyBorder="1" applyAlignment="1">
      <alignment horizontal="center" vertical="center" wrapText="1"/>
    </xf>
    <xf numFmtId="177" fontId="19" fillId="31" borderId="94" xfId="0" applyNumberFormat="1" applyFont="1" applyFill="1" applyBorder="1" applyAlignment="1">
      <alignment horizontal="center" vertical="center"/>
    </xf>
    <xf numFmtId="179" fontId="19" fillId="31" borderId="94" xfId="0" applyNumberFormat="1" applyFont="1" applyFill="1" applyBorder="1" applyAlignment="1">
      <alignment horizontal="center" vertical="center"/>
    </xf>
    <xf numFmtId="175" fontId="19" fillId="31" borderId="94" xfId="0" applyNumberFormat="1" applyFont="1" applyFill="1" applyBorder="1" applyAlignment="1">
      <alignment horizontal="center" vertical="center"/>
    </xf>
    <xf numFmtId="0" fontId="7" fillId="30" borderId="94"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33" xfId="0" applyFont="1" applyFill="1" applyBorder="1" applyAlignment="1">
      <alignment horizontal="center" vertical="center"/>
    </xf>
    <xf numFmtId="0" fontId="7" fillId="9" borderId="34" xfId="0" applyFont="1" applyFill="1" applyBorder="1" applyAlignment="1">
      <alignment horizontal="center" vertical="center"/>
    </xf>
    <xf numFmtId="0" fontId="7" fillId="36" borderId="32" xfId="0" applyFont="1" applyFill="1" applyBorder="1" applyAlignment="1">
      <alignment horizontal="center"/>
    </xf>
    <xf numFmtId="0" fontId="7" fillId="36" borderId="36" xfId="0" applyFont="1" applyFill="1" applyBorder="1" applyAlignment="1">
      <alignment horizontal="center"/>
    </xf>
    <xf numFmtId="0" fontId="72" fillId="0" borderId="0" xfId="0" applyFont="1" applyBorder="1" applyAlignment="1">
      <alignment horizontal="center"/>
    </xf>
    <xf numFmtId="0" fontId="0" fillId="0" borderId="0" xfId="0" applyBorder="1" applyAlignment="1">
      <alignment horizontal="center"/>
    </xf>
    <xf numFmtId="0" fontId="72" fillId="0" borderId="105" xfId="0" applyFont="1" applyBorder="1" applyAlignment="1">
      <alignment horizontal="center" wrapText="1"/>
    </xf>
    <xf numFmtId="0" fontId="72" fillId="0" borderId="106" xfId="0" applyFont="1" applyBorder="1" applyAlignment="1">
      <alignment horizontal="center" wrapText="1"/>
    </xf>
    <xf numFmtId="0" fontId="15" fillId="36" borderId="53" xfId="0" applyFont="1" applyFill="1" applyBorder="1" applyAlignment="1">
      <alignment horizontal="center" vertical="center" wrapText="1"/>
    </xf>
    <xf numFmtId="0" fontId="15" fillId="36" borderId="54" xfId="0" applyFont="1" applyFill="1" applyBorder="1" applyAlignment="1">
      <alignment horizontal="center" vertical="center" wrapText="1"/>
    </xf>
    <xf numFmtId="0" fontId="67" fillId="0" borderId="90" xfId="60" applyFont="1" applyBorder="1" applyAlignment="1">
      <alignment horizontal="center" vertical="center" wrapText="1"/>
    </xf>
    <xf numFmtId="0" fontId="67" fillId="0" borderId="91" xfId="60" applyFont="1" applyBorder="1" applyAlignment="1">
      <alignment horizontal="center" vertical="center" wrapText="1"/>
    </xf>
    <xf numFmtId="0" fontId="72" fillId="0" borderId="81" xfId="0" applyFont="1" applyBorder="1" applyAlignment="1">
      <alignment horizontal="center"/>
    </xf>
    <xf numFmtId="0" fontId="0" fillId="0" borderId="82" xfId="0" applyBorder="1" applyAlignment="1">
      <alignment horizontal="center"/>
    </xf>
    <xf numFmtId="0" fontId="0" fillId="0" borderId="83" xfId="0" applyBorder="1" applyAlignment="1">
      <alignment horizontal="center"/>
    </xf>
    <xf numFmtId="0" fontId="7" fillId="0" borderId="78" xfId="0" applyFont="1" applyBorder="1" applyAlignment="1">
      <alignment horizontal="center" wrapText="1"/>
    </xf>
    <xf numFmtId="0" fontId="7" fillId="12" borderId="0" xfId="0" applyFont="1" applyFill="1" applyAlignment="1">
      <alignment horizontal="center" wrapText="1"/>
    </xf>
    <xf numFmtId="0" fontId="7" fillId="15" borderId="0" xfId="0" applyFont="1" applyFill="1" applyAlignment="1">
      <alignment horizontal="center" wrapText="1"/>
    </xf>
    <xf numFmtId="0" fontId="0" fillId="17" borderId="12" xfId="0" applyFill="1" applyBorder="1" applyAlignment="1">
      <alignment horizontal="center" wrapText="1"/>
    </xf>
    <xf numFmtId="0" fontId="18" fillId="15" borderId="12" xfId="0" applyFont="1" applyFill="1" applyBorder="1" applyAlignment="1">
      <alignment horizontal="center" wrapText="1"/>
    </xf>
    <xf numFmtId="0" fontId="7" fillId="15" borderId="12" xfId="7" applyFont="1" applyFill="1" applyBorder="1" applyAlignment="1">
      <alignment horizontal="center" wrapText="1"/>
    </xf>
    <xf numFmtId="0" fontId="14" fillId="3" borderId="7"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39" xfId="2" applyFont="1" applyFill="1" applyBorder="1" applyAlignment="1">
      <alignment horizontal="center" vertical="center" wrapText="1"/>
    </xf>
    <xf numFmtId="0" fontId="15" fillId="9" borderId="12" xfId="0" applyFont="1" applyFill="1" applyBorder="1" applyAlignment="1">
      <alignment horizontal="center" wrapText="1"/>
    </xf>
    <xf numFmtId="0" fontId="0" fillId="0" borderId="78" xfId="0" applyBorder="1" applyAlignment="1">
      <alignment horizontal="center" wrapText="1"/>
    </xf>
    <xf numFmtId="0" fontId="69" fillId="0" borderId="78" xfId="0" applyFont="1" applyBorder="1" applyAlignment="1">
      <alignment horizontal="center" vertical="center" wrapText="1"/>
    </xf>
    <xf numFmtId="0" fontId="7" fillId="38" borderId="13" xfId="0" applyFont="1" applyFill="1" applyBorder="1" applyAlignment="1">
      <alignment horizontal="center" wrapText="1"/>
    </xf>
    <xf numFmtId="0" fontId="7" fillId="38" borderId="14" xfId="0" applyFont="1" applyFill="1" applyBorder="1" applyAlignment="1">
      <alignment horizontal="center" wrapText="1"/>
    </xf>
    <xf numFmtId="0" fontId="7" fillId="36" borderId="6" xfId="0" applyFont="1" applyFill="1" applyBorder="1" applyAlignment="1">
      <alignment horizontal="center" wrapText="1"/>
    </xf>
    <xf numFmtId="0" fontId="19" fillId="0" borderId="40" xfId="0" applyFont="1" applyBorder="1" applyAlignment="1">
      <alignment horizontal="left" vertical="center"/>
    </xf>
    <xf numFmtId="0" fontId="19" fillId="0" borderId="0" xfId="0" applyFont="1" applyBorder="1" applyAlignment="1">
      <alignment horizontal="left" vertical="center"/>
    </xf>
    <xf numFmtId="0" fontId="7" fillId="18" borderId="12" xfId="7" applyFont="1" applyBorder="1" applyAlignment="1">
      <alignment horizontal="center" vertical="center" wrapText="1"/>
    </xf>
    <xf numFmtId="0" fontId="14" fillId="17" borderId="7" xfId="2" applyFont="1" applyFill="1" applyBorder="1" applyAlignment="1">
      <alignment horizontal="center" vertical="center" wrapText="1"/>
    </xf>
    <xf numFmtId="0" fontId="14" fillId="17" borderId="6" xfId="2" applyFont="1" applyFill="1" applyBorder="1" applyAlignment="1">
      <alignment horizontal="center" vertical="center" wrapText="1"/>
    </xf>
    <xf numFmtId="0" fontId="15" fillId="36" borderId="46" xfId="0" applyFont="1" applyFill="1" applyBorder="1" applyAlignment="1">
      <alignment horizontal="center" vertical="center" wrapText="1"/>
    </xf>
    <xf numFmtId="0" fontId="15" fillId="36" borderId="55" xfId="0" applyFont="1" applyFill="1" applyBorder="1" applyAlignment="1">
      <alignment horizontal="center" vertical="center" wrapText="1"/>
    </xf>
    <xf numFmtId="0" fontId="81" fillId="89" borderId="97" xfId="62" applyFont="1" applyFill="1" applyBorder="1" applyAlignment="1">
      <alignment horizontal="center"/>
    </xf>
    <xf numFmtId="0" fontId="81" fillId="0" borderId="97" xfId="62" applyFont="1" applyBorder="1" applyAlignment="1">
      <alignment horizontal="center"/>
    </xf>
    <xf numFmtId="0" fontId="64" fillId="36" borderId="23" xfId="0" applyFont="1" applyFill="1" applyBorder="1" applyAlignment="1">
      <alignment horizontal="center" vertical="center" wrapText="1"/>
    </xf>
    <xf numFmtId="0" fontId="77" fillId="80" borderId="23" xfId="45" applyFont="1" applyFill="1" applyBorder="1" applyAlignment="1">
      <alignment horizontal="center" wrapText="1"/>
    </xf>
    <xf numFmtId="0" fontId="74" fillId="12" borderId="23" xfId="0" applyFont="1" applyFill="1" applyBorder="1" applyAlignment="1">
      <alignment horizontal="center" vertical="center" wrapText="1"/>
    </xf>
    <xf numFmtId="0" fontId="64" fillId="36" borderId="72" xfId="0" applyFont="1" applyFill="1" applyBorder="1" applyAlignment="1">
      <alignment horizontal="center" vertical="center" wrapText="1"/>
    </xf>
    <xf numFmtId="0" fontId="64" fillId="36" borderId="75" xfId="0" applyFont="1" applyFill="1" applyBorder="1" applyAlignment="1">
      <alignment horizontal="center" vertical="center" wrapText="1"/>
    </xf>
    <xf numFmtId="0" fontId="64" fillId="36" borderId="73" xfId="0" applyFont="1" applyFill="1" applyBorder="1" applyAlignment="1">
      <alignment horizontal="center" vertical="center" wrapText="1"/>
    </xf>
    <xf numFmtId="0" fontId="80" fillId="12" borderId="52" xfId="0" applyFont="1" applyFill="1" applyBorder="1" applyAlignment="1">
      <alignment horizontal="center" vertical="center"/>
    </xf>
    <xf numFmtId="0" fontId="87" fillId="79" borderId="23" xfId="45" applyFont="1" applyFill="1" applyBorder="1" applyAlignment="1">
      <alignment horizontal="center" wrapText="1"/>
    </xf>
    <xf numFmtId="0" fontId="74" fillId="12" borderId="72" xfId="0" applyFont="1" applyFill="1" applyBorder="1" applyAlignment="1">
      <alignment horizontal="center" vertical="center" wrapText="1"/>
    </xf>
    <xf numFmtId="0" fontId="74" fillId="12" borderId="75" xfId="0" applyFont="1" applyFill="1" applyBorder="1" applyAlignment="1">
      <alignment horizontal="center" vertical="center" wrapText="1"/>
    </xf>
    <xf numFmtId="0" fontId="74" fillId="12" borderId="73" xfId="0" applyFont="1" applyFill="1" applyBorder="1" applyAlignment="1">
      <alignment horizontal="center" vertical="center" wrapText="1"/>
    </xf>
    <xf numFmtId="0" fontId="76" fillId="36" borderId="23" xfId="0" applyFont="1" applyFill="1" applyBorder="1" applyAlignment="1">
      <alignment horizontal="center" vertical="center" wrapText="1"/>
    </xf>
    <xf numFmtId="0" fontId="80" fillId="12" borderId="96" xfId="0" applyFont="1" applyFill="1" applyBorder="1" applyAlignment="1">
      <alignment horizontal="center" vertical="center"/>
    </xf>
    <xf numFmtId="0" fontId="16" fillId="15" borderId="12" xfId="0" applyFont="1" applyFill="1" applyBorder="1" applyAlignment="1">
      <alignment horizontal="center" vertical="center" wrapText="1"/>
    </xf>
    <xf numFmtId="0" fontId="9" fillId="70" borderId="12" xfId="57" applyFont="1" applyBorder="1" applyAlignment="1">
      <alignment horizontal="center" vertical="center" wrapText="1"/>
    </xf>
    <xf numFmtId="0" fontId="7" fillId="10" borderId="12" xfId="6" applyFont="1" applyBorder="1" applyAlignment="1">
      <alignment horizontal="center" vertical="center" wrapText="1"/>
    </xf>
    <xf numFmtId="0" fontId="7" fillId="10" borderId="12" xfId="6" applyFont="1" applyBorder="1" applyAlignment="1">
      <alignment horizontal="center"/>
    </xf>
    <xf numFmtId="0" fontId="11" fillId="28" borderId="12" xfId="0" applyFont="1" applyFill="1" applyBorder="1" applyAlignment="1">
      <alignment horizontal="center" vertical="center" wrapText="1"/>
    </xf>
    <xf numFmtId="0" fontId="16" fillId="20" borderId="0" xfId="4" applyFont="1" applyFill="1" applyAlignment="1">
      <alignment horizontal="center" vertical="center" wrapText="1"/>
    </xf>
    <xf numFmtId="0" fontId="16" fillId="23" borderId="12" xfId="0" applyFont="1" applyFill="1" applyBorder="1" applyAlignment="1">
      <alignment horizontal="center"/>
    </xf>
    <xf numFmtId="0" fontId="7" fillId="72" borderId="0" xfId="59" applyFont="1" applyAlignment="1">
      <alignment horizontal="center"/>
    </xf>
    <xf numFmtId="0" fontId="66" fillId="0" borderId="78" xfId="60" applyFont="1" applyBorder="1" applyAlignment="1">
      <alignment horizontal="left" vertical="center" wrapText="1"/>
    </xf>
    <xf numFmtId="0" fontId="18" fillId="65" borderId="98" xfId="56" applyFont="1" applyBorder="1" applyAlignment="1">
      <alignment horizontal="center" vertical="center" wrapText="1"/>
    </xf>
    <xf numFmtId="0" fontId="18" fillId="65" borderId="99" xfId="56" applyFont="1" applyBorder="1" applyAlignment="1">
      <alignment horizontal="center" vertical="center" wrapText="1"/>
    </xf>
    <xf numFmtId="2" fontId="42" fillId="16" borderId="52" xfId="1" applyNumberFormat="1" applyFont="1" applyFill="1" applyBorder="1" applyAlignment="1">
      <alignment horizontal="center" vertical="center"/>
    </xf>
    <xf numFmtId="0" fontId="16" fillId="14" borderId="56" xfId="0" applyFont="1" applyFill="1" applyBorder="1" applyAlignment="1">
      <alignment horizontal="center" vertical="center"/>
    </xf>
    <xf numFmtId="0" fontId="16" fillId="14" borderId="100" xfId="0" applyFont="1" applyFill="1" applyBorder="1" applyAlignment="1">
      <alignment horizontal="center" vertical="center"/>
    </xf>
    <xf numFmtId="0" fontId="72" fillId="0" borderId="0" xfId="0" applyFont="1" applyBorder="1" applyAlignment="1">
      <alignment horizontal="center" vertical="center"/>
    </xf>
    <xf numFmtId="0" fontId="18" fillId="12" borderId="98" xfId="0" applyFont="1" applyFill="1" applyBorder="1" applyAlignment="1">
      <alignment horizontal="center" vertical="center"/>
    </xf>
    <xf numFmtId="0" fontId="18" fillId="12" borderId="99" xfId="0" applyFont="1" applyFill="1" applyBorder="1" applyAlignment="1">
      <alignment horizontal="center" vertical="center"/>
    </xf>
    <xf numFmtId="0" fontId="13" fillId="4" borderId="21" xfId="3" applyFont="1" applyFill="1" applyBorder="1" applyAlignment="1">
      <alignment horizontal="center" vertical="center" wrapText="1"/>
    </xf>
    <xf numFmtId="0" fontId="13" fillId="4" borderId="14" xfId="3" applyFont="1" applyFill="1" applyBorder="1" applyAlignment="1">
      <alignment horizontal="center" vertical="center" wrapText="1"/>
    </xf>
    <xf numFmtId="0" fontId="16" fillId="15" borderId="52" xfId="0" applyFont="1" applyFill="1" applyBorder="1" applyAlignment="1">
      <alignment horizontal="center"/>
    </xf>
    <xf numFmtId="0" fontId="7" fillId="70" borderId="60" xfId="57" applyFont="1" applyBorder="1" applyAlignment="1">
      <alignment horizontal="center" vertical="center" wrapText="1"/>
    </xf>
    <xf numFmtId="0" fontId="7" fillId="70" borderId="62" xfId="57" applyFont="1" applyBorder="1" applyAlignment="1">
      <alignment horizontal="center" vertical="center" wrapText="1"/>
    </xf>
    <xf numFmtId="2" fontId="42" fillId="16" borderId="48" xfId="1" applyNumberFormat="1" applyFont="1" applyFill="1" applyBorder="1" applyAlignment="1">
      <alignment horizontal="center" vertical="center"/>
    </xf>
    <xf numFmtId="2" fontId="42" fillId="16" borderId="58" xfId="1" applyNumberFormat="1" applyFont="1" applyFill="1" applyBorder="1" applyAlignment="1">
      <alignment horizontal="center" vertical="center"/>
    </xf>
    <xf numFmtId="2" fontId="16" fillId="3" borderId="0" xfId="2" applyNumberFormat="1" applyFont="1" applyBorder="1" applyAlignment="1">
      <alignment horizontal="center"/>
    </xf>
    <xf numFmtId="2" fontId="16" fillId="3" borderId="95" xfId="2" applyNumberFormat="1" applyFont="1" applyBorder="1" applyAlignment="1">
      <alignment horizontal="center"/>
    </xf>
    <xf numFmtId="0" fontId="16" fillId="36" borderId="51" xfId="0" applyFont="1" applyFill="1" applyBorder="1" applyAlignment="1">
      <alignment horizontal="center" vertical="center" wrapText="1"/>
    </xf>
    <xf numFmtId="0" fontId="16" fillId="36" borderId="61" xfId="0" applyFont="1" applyFill="1" applyBorder="1" applyAlignment="1">
      <alignment horizontal="center" vertical="center" wrapText="1"/>
    </xf>
    <xf numFmtId="0" fontId="7" fillId="71" borderId="52" xfId="58" applyFont="1" applyBorder="1" applyAlignment="1">
      <alignment horizontal="center"/>
    </xf>
    <xf numFmtId="0" fontId="50" fillId="36" borderId="13" xfId="0" applyFont="1" applyFill="1" applyBorder="1" applyAlignment="1">
      <alignment horizontal="left"/>
    </xf>
    <xf numFmtId="0" fontId="50" fillId="36" borderId="21" xfId="0" applyFont="1" applyFill="1" applyBorder="1" applyAlignment="1">
      <alignment horizontal="left"/>
    </xf>
    <xf numFmtId="0" fontId="50" fillId="36" borderId="14" xfId="0" applyFont="1" applyFill="1" applyBorder="1" applyAlignment="1">
      <alignment horizontal="left"/>
    </xf>
    <xf numFmtId="0" fontId="20" fillId="32" borderId="62" xfId="0" applyFont="1" applyFill="1" applyBorder="1" applyAlignment="1">
      <alignment horizontal="left"/>
    </xf>
    <xf numFmtId="0" fontId="20" fillId="32" borderId="46" xfId="0" applyFont="1" applyFill="1" applyBorder="1" applyAlignment="1">
      <alignment horizontal="left"/>
    </xf>
    <xf numFmtId="0" fontId="20" fillId="32" borderId="55" xfId="0" applyFont="1" applyFill="1" applyBorder="1" applyAlignment="1">
      <alignment horizontal="left"/>
    </xf>
    <xf numFmtId="0" fontId="20" fillId="36" borderId="13" xfId="0" applyFont="1" applyFill="1" applyBorder="1" applyAlignment="1">
      <alignment horizontal="left"/>
    </xf>
    <xf numFmtId="0" fontId="20" fillId="36" borderId="21" xfId="0" applyFont="1" applyFill="1" applyBorder="1" applyAlignment="1">
      <alignment horizontal="left"/>
    </xf>
    <xf numFmtId="0" fontId="20" fillId="36" borderId="14" xfId="0" applyFont="1" applyFill="1" applyBorder="1" applyAlignment="1">
      <alignment horizontal="left"/>
    </xf>
    <xf numFmtId="0" fontId="14" fillId="17" borderId="50" xfId="2" applyFont="1" applyFill="1" applyBorder="1" applyAlignment="1">
      <alignment horizontal="center" vertical="center" wrapText="1"/>
    </xf>
    <xf numFmtId="0" fontId="14" fillId="17" borderId="0" xfId="2" applyFont="1" applyFill="1" applyBorder="1" applyAlignment="1">
      <alignment horizontal="center" vertical="center" wrapText="1"/>
    </xf>
    <xf numFmtId="0" fontId="10" fillId="2" borderId="3" xfId="1" applyFont="1" applyFill="1" applyBorder="1" applyAlignment="1">
      <alignment horizontal="center" vertical="center"/>
    </xf>
    <xf numFmtId="0" fontId="10" fillId="2" borderId="7" xfId="1" applyFont="1" applyFill="1" applyBorder="1" applyAlignment="1">
      <alignment horizontal="center" vertical="center"/>
    </xf>
    <xf numFmtId="0" fontId="7" fillId="70" borderId="0" xfId="57" applyFont="1" applyAlignment="1">
      <alignment horizontal="center" vertical="center" wrapText="1"/>
    </xf>
    <xf numFmtId="0" fontId="7" fillId="70" borderId="32" xfId="57" applyFont="1" applyBorder="1" applyAlignment="1">
      <alignment horizontal="center" vertical="center" wrapText="1"/>
    </xf>
    <xf numFmtId="0" fontId="62" fillId="0" borderId="76" xfId="60" applyFont="1" applyBorder="1" applyAlignment="1">
      <alignment horizontal="left" vertical="center" wrapText="1"/>
    </xf>
    <xf numFmtId="0" fontId="62" fillId="0" borderId="89" xfId="60" applyFont="1" applyBorder="1" applyAlignment="1">
      <alignment horizontal="left" vertical="center" wrapText="1"/>
    </xf>
    <xf numFmtId="0" fontId="62" fillId="0" borderId="77" xfId="60" applyFont="1" applyBorder="1" applyAlignment="1">
      <alignment horizontal="left" vertical="center" wrapText="1"/>
    </xf>
    <xf numFmtId="0" fontId="66" fillId="0" borderId="81" xfId="60" applyFont="1" applyBorder="1" applyAlignment="1">
      <alignment horizontal="left" vertical="center" wrapText="1"/>
    </xf>
    <xf numFmtId="0" fontId="66" fillId="0" borderId="82" xfId="60" applyFont="1" applyBorder="1" applyAlignment="1">
      <alignment horizontal="left" vertical="center" wrapText="1"/>
    </xf>
    <xf numFmtId="0" fontId="66" fillId="0" borderId="83" xfId="60" applyFont="1" applyBorder="1" applyAlignment="1">
      <alignment horizontal="left" vertical="center" wrapText="1"/>
    </xf>
    <xf numFmtId="0" fontId="16" fillId="66" borderId="12" xfId="0" applyFont="1" applyFill="1" applyBorder="1" applyAlignment="1">
      <alignment horizontal="center"/>
    </xf>
    <xf numFmtId="0" fontId="10" fillId="2" borderId="12" xfId="1" applyFont="1" applyFill="1" applyBorder="1" applyAlignment="1">
      <alignment horizontal="center" vertical="center"/>
    </xf>
    <xf numFmtId="0" fontId="18" fillId="9" borderId="0" xfId="0" applyFont="1" applyFill="1" applyAlignment="1">
      <alignment horizontal="center" vertical="center"/>
    </xf>
    <xf numFmtId="0" fontId="35" fillId="57" borderId="42" xfId="50" applyBorder="1" applyAlignment="1">
      <alignment horizontal="center" wrapText="1"/>
    </xf>
    <xf numFmtId="0" fontId="35" fillId="57" borderId="43" xfId="50" applyBorder="1" applyAlignment="1">
      <alignment horizontal="center" wrapText="1"/>
    </xf>
    <xf numFmtId="0" fontId="35" fillId="57" borderId="44" xfId="50" applyBorder="1" applyAlignment="1">
      <alignment horizontal="center" wrapText="1"/>
    </xf>
    <xf numFmtId="0" fontId="16" fillId="67" borderId="40" xfId="0" applyFont="1" applyFill="1" applyBorder="1" applyAlignment="1">
      <alignment horizontal="center" wrapText="1"/>
    </xf>
    <xf numFmtId="0" fontId="16" fillId="67" borderId="0" xfId="0" applyFont="1" applyFill="1" applyBorder="1" applyAlignment="1">
      <alignment horizontal="center" wrapText="1"/>
    </xf>
    <xf numFmtId="0" fontId="16" fillId="68" borderId="40" xfId="0" applyFont="1" applyFill="1" applyBorder="1" applyAlignment="1">
      <alignment horizontal="center" wrapText="1"/>
    </xf>
    <xf numFmtId="0" fontId="16" fillId="68" borderId="0" xfId="0" applyFont="1" applyFill="1" applyBorder="1" applyAlignment="1">
      <alignment horizontal="center" wrapText="1"/>
    </xf>
    <xf numFmtId="0" fontId="7" fillId="24" borderId="13" xfId="0" applyFont="1" applyFill="1" applyBorder="1" applyAlignment="1">
      <alignment horizontal="center" wrapText="1"/>
    </xf>
    <xf numFmtId="0" fontId="7" fillId="24" borderId="21" xfId="0" applyFont="1" applyFill="1" applyBorder="1" applyAlignment="1">
      <alignment horizontal="center" wrapText="1"/>
    </xf>
    <xf numFmtId="0" fontId="16" fillId="67" borderId="13" xfId="0" applyFont="1" applyFill="1" applyBorder="1" applyAlignment="1">
      <alignment horizontal="center" wrapText="1"/>
    </xf>
    <xf numFmtId="0" fontId="16" fillId="67" borderId="21" xfId="0" applyFont="1" applyFill="1" applyBorder="1" applyAlignment="1">
      <alignment horizontal="center" wrapText="1"/>
    </xf>
    <xf numFmtId="0" fontId="16" fillId="68" borderId="13" xfId="0" applyFont="1" applyFill="1" applyBorder="1" applyAlignment="1">
      <alignment horizontal="center" wrapText="1"/>
    </xf>
    <xf numFmtId="0" fontId="16" fillId="68" borderId="21" xfId="0" applyFont="1" applyFill="1" applyBorder="1" applyAlignment="1">
      <alignment horizontal="center" wrapText="1"/>
    </xf>
    <xf numFmtId="0" fontId="10" fillId="2" borderId="13" xfId="1" applyFont="1" applyFill="1" applyBorder="1" applyAlignment="1">
      <alignment horizontal="center" vertical="center"/>
    </xf>
    <xf numFmtId="0" fontId="10" fillId="2" borderId="21" xfId="1" applyFont="1" applyFill="1" applyBorder="1" applyAlignment="1">
      <alignment horizontal="center" vertical="center"/>
    </xf>
    <xf numFmtId="0" fontId="10" fillId="2" borderId="14" xfId="1" applyFont="1" applyFill="1" applyBorder="1" applyAlignment="1">
      <alignment horizontal="center" vertical="center"/>
    </xf>
    <xf numFmtId="0" fontId="16" fillId="14" borderId="57" xfId="0" applyFont="1" applyFill="1" applyBorder="1" applyAlignment="1">
      <alignment horizontal="center" vertical="center"/>
    </xf>
    <xf numFmtId="0" fontId="16" fillId="14" borderId="58" xfId="0" applyFont="1" applyFill="1" applyBorder="1" applyAlignment="1">
      <alignment horizontal="center" vertical="center"/>
    </xf>
    <xf numFmtId="0" fontId="10" fillId="2" borderId="47" xfId="1" applyFont="1" applyFill="1" applyBorder="1" applyAlignment="1">
      <alignment horizontal="center" vertical="center"/>
    </xf>
    <xf numFmtId="0" fontId="10" fillId="2" borderId="46" xfId="1" applyFont="1" applyFill="1" applyBorder="1" applyAlignment="1">
      <alignment horizontal="center" vertical="center"/>
    </xf>
    <xf numFmtId="0" fontId="35" fillId="69" borderId="12" xfId="50" applyFill="1" applyBorder="1" applyAlignment="1">
      <alignment horizontal="center" wrapText="1"/>
    </xf>
    <xf numFmtId="0" fontId="7" fillId="24" borderId="14" xfId="0" applyFont="1" applyFill="1" applyBorder="1" applyAlignment="1">
      <alignment horizontal="center" wrapText="1"/>
    </xf>
  </cellXfs>
  <cellStyles count="63">
    <cellStyle name="20% - Accent1 2" xfId="9"/>
    <cellStyle name="20% - Accent2 2" xfId="10"/>
    <cellStyle name="20% - Accent3" xfId="3" builtinId="38"/>
    <cellStyle name="20% - Accent3 2" xfId="11"/>
    <cellStyle name="20% - Accent4" xfId="57" builtinId="42"/>
    <cellStyle name="20% - Accent4 2" xfId="12"/>
    <cellStyle name="20% - Accent5" xfId="58" builtinId="46"/>
    <cellStyle name="20% - Accent5 2" xfId="13"/>
    <cellStyle name="20% - Accent6 2" xfId="14"/>
    <cellStyle name="40% - Accent1 2" xfId="15"/>
    <cellStyle name="40% - Accent2" xfId="7" builtinId="35"/>
    <cellStyle name="40% - Accent2 2" xfId="16"/>
    <cellStyle name="40% - Accent3 2" xfId="17"/>
    <cellStyle name="40% - Accent4 2" xfId="18"/>
    <cellStyle name="40% - Accent5" xfId="59" builtinId="47"/>
    <cellStyle name="40% - Accent5 2" xfId="19"/>
    <cellStyle name="40% - Accent6" xfId="56" builtinId="51"/>
    <cellStyle name="40% - Accent6 2" xfId="20"/>
    <cellStyle name="60% - Accent1 2" xfId="21"/>
    <cellStyle name="60% - Accent2 2" xfId="22"/>
    <cellStyle name="60% - Accent3 2" xfId="23"/>
    <cellStyle name="60% - Accent4 2" xfId="24"/>
    <cellStyle name="60% - Accent5 2" xfId="25"/>
    <cellStyle name="60% - Accent6 2" xfId="26"/>
    <cellStyle name="Accent1 2" xfId="27"/>
    <cellStyle name="Accent2 2" xfId="28"/>
    <cellStyle name="Accent3 2" xfId="29"/>
    <cellStyle name="Accent4 2" xfId="30"/>
    <cellStyle name="Accent5 2" xfId="31"/>
    <cellStyle name="Accent6 2" xfId="32"/>
    <cellStyle name="Bad" xfId="2" builtinId="27"/>
    <cellStyle name="Bad 2" xfId="33"/>
    <cellStyle name="Calculation 2" xfId="34"/>
    <cellStyle name="Check Cell 2" xfId="35"/>
    <cellStyle name="Comma [0] 2" xfId="37"/>
    <cellStyle name="Comma 2" xfId="36"/>
    <cellStyle name="Comma 3" xfId="55"/>
    <cellStyle name="Currency 2" xfId="38"/>
    <cellStyle name="Explanatory Text 2" xfId="39"/>
    <cellStyle name="Good" xfId="1" builtinId="26"/>
    <cellStyle name="Good 2" xfId="40"/>
    <cellStyle name="Heading 1 2" xfId="41"/>
    <cellStyle name="Heading 2 2" xfId="42"/>
    <cellStyle name="Heading 3 2" xfId="43"/>
    <cellStyle name="Heading 4 2" xfId="44"/>
    <cellStyle name="Input 2" xfId="45"/>
    <cellStyle name="Linked Cell 2" xfId="46"/>
    <cellStyle name="Neutral 2" xfId="47"/>
    <cellStyle name="Normal" xfId="0" builtinId="0"/>
    <cellStyle name="Normal 2" xfId="48"/>
    <cellStyle name="Normal 3" xfId="8"/>
    <cellStyle name="Normal 4" xfId="60"/>
    <cellStyle name="Normal 5" xfId="61"/>
    <cellStyle name="Normal 5 2" xfId="62"/>
    <cellStyle name="Note 2" xfId="49"/>
    <cellStyle name="Output 2" xfId="50"/>
    <cellStyle name="Percent 2" xfId="51"/>
    <cellStyle name="Style 1" xfId="4"/>
    <cellStyle name="Style 2" xfId="5"/>
    <cellStyle name="Style 3" xfId="6"/>
    <cellStyle name="Title 2" xfId="52"/>
    <cellStyle name="Total 2" xfId="53"/>
    <cellStyle name="Warning Text 2" xfId="54"/>
  </cellStyles>
  <dxfs count="43">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5"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b val="0"/>
        <i val="0"/>
        <strike val="0"/>
        <condense val="0"/>
        <extend val="0"/>
        <outline val="0"/>
        <shadow val="0"/>
        <u val="none"/>
        <vertAlign val="baseline"/>
        <sz val="10"/>
        <color auto="1"/>
        <name val="Arial"/>
        <scheme val="none"/>
      </font>
      <fill>
        <patternFill patternType="solid">
          <bgColor rgb="FFFFFF99"/>
        </patternFill>
      </fill>
      <alignment horizontal="center" vertical="center" textRotation="0" wrapText="0" indent="0" justifyLastLine="0" shrinkToFit="0" readingOrder="0"/>
      <border diagonalUp="0" diagonalDown="0">
        <left style="thin">
          <color theme="4" tint="0.39991454817346722"/>
        </left>
        <right style="thin">
          <color theme="4" tint="0.39991454817346722"/>
        </right>
        <top style="thin">
          <color theme="4" tint="0.39991454817346722"/>
        </top>
        <bottom style="thin">
          <color theme="4" tint="0.39991454817346722"/>
        </bottom>
      </border>
    </dxf>
    <dxf>
      <font>
        <b val="0"/>
        <i val="0"/>
        <strike val="0"/>
        <condense val="0"/>
        <extend val="0"/>
        <outline val="0"/>
        <shadow val="0"/>
        <u val="none"/>
        <vertAlign val="baseline"/>
        <sz val="10"/>
        <color auto="1"/>
        <name val="Arial"/>
        <scheme val="none"/>
      </font>
      <fill>
        <patternFill patternType="solid">
          <bgColor rgb="FFFFFF99"/>
        </patternFill>
      </fill>
      <alignment horizontal="center" vertical="center" textRotation="0" wrapText="0" indent="0" justifyLastLine="0" shrinkToFit="0" readingOrder="0"/>
      <border diagonalUp="0" diagonalDown="0" outline="0">
        <left style="thin">
          <color theme="4" tint="0.39991454817346722"/>
        </left>
        <right style="thin">
          <color theme="4" tint="0.39991454817346722"/>
        </right>
        <top style="thin">
          <color theme="4" tint="0.39991454817346722"/>
        </top>
        <bottom style="thin">
          <color theme="4" tint="0.39991454817346722"/>
        </bottom>
      </border>
    </dxf>
    <dxf>
      <font>
        <b val="0"/>
        <i val="0"/>
        <strike val="0"/>
        <condense val="0"/>
        <extend val="0"/>
        <outline val="0"/>
        <shadow val="0"/>
        <u val="none"/>
        <vertAlign val="baseline"/>
        <sz val="10"/>
        <color auto="1"/>
        <name val="Arial"/>
        <scheme val="none"/>
      </font>
      <fill>
        <patternFill patternType="solid">
          <bgColor rgb="FFFFFF99"/>
        </patternFill>
      </fill>
      <alignment horizontal="center" vertical="center" textRotation="0" wrapText="0" indent="0" justifyLastLine="0" shrinkToFit="0" readingOrder="0"/>
      <border diagonalUp="0" diagonalDown="0" outline="0">
        <left style="thin">
          <color theme="4" tint="0.39991454817346722"/>
        </left>
        <right style="thin">
          <color theme="4" tint="0.39991454817346722"/>
        </right>
        <top style="thin">
          <color theme="4" tint="0.39991454817346722"/>
        </top>
        <bottom style="thin">
          <color theme="4" tint="0.39991454817346722"/>
        </bottom>
      </border>
    </dxf>
    <dxf>
      <font>
        <b val="0"/>
        <i val="0"/>
        <strike val="0"/>
        <condense val="0"/>
        <extend val="0"/>
        <outline val="0"/>
        <shadow val="0"/>
        <u val="none"/>
        <vertAlign val="baseline"/>
        <sz val="10"/>
        <color auto="1"/>
        <name val="Arial"/>
        <scheme val="none"/>
      </font>
      <fill>
        <patternFill patternType="solid">
          <bgColor rgb="FFFFFF99"/>
        </patternFill>
      </fill>
      <alignment horizontal="center" vertical="center" textRotation="0" wrapText="0" indent="0" justifyLastLine="0" shrinkToFit="0" readingOrder="0"/>
      <border diagonalUp="0" diagonalDown="0" outline="0">
        <left style="thin">
          <color theme="4" tint="0.39991454817346722"/>
        </left>
        <right style="thin">
          <color theme="4" tint="0.39991454817346722"/>
        </right>
        <top style="thin">
          <color theme="4" tint="0.39991454817346722"/>
        </top>
        <bottom style="thin">
          <color theme="4" tint="0.39991454817346722"/>
        </bottom>
      </border>
    </dxf>
    <dxf>
      <font>
        <b val="0"/>
        <i val="0"/>
        <strike val="0"/>
        <condense val="0"/>
        <extend val="0"/>
        <outline val="0"/>
        <shadow val="0"/>
        <u val="none"/>
        <vertAlign val="baseline"/>
        <sz val="10"/>
        <color auto="1"/>
        <name val="Arial"/>
        <scheme val="none"/>
      </font>
      <fill>
        <patternFill patternType="solid">
          <bgColor rgb="FFFFFF99"/>
        </patternFill>
      </fill>
      <alignment horizontal="center" vertical="center" textRotation="0" wrapText="0" indent="0" justifyLastLine="0" shrinkToFit="0" readingOrder="0"/>
      <border diagonalUp="0" diagonalDown="0" outline="0">
        <left style="thin">
          <color theme="4" tint="0.39991454817346722"/>
        </left>
        <right style="thin">
          <color theme="4" tint="0.39991454817346722"/>
        </right>
        <top style="thin">
          <color theme="4" tint="0.39991454817346722"/>
        </top>
        <bottom style="thin">
          <color theme="4" tint="0.39991454817346722"/>
        </bottom>
      </border>
    </dxf>
    <dxf>
      <font>
        <b val="0"/>
        <i val="0"/>
        <strike val="0"/>
        <condense val="0"/>
        <extend val="0"/>
        <outline val="0"/>
        <shadow val="0"/>
        <u val="none"/>
        <vertAlign val="baseline"/>
        <sz val="10"/>
        <color auto="1"/>
        <name val="Arial"/>
        <scheme val="none"/>
      </font>
      <fill>
        <patternFill patternType="solid">
          <bgColor rgb="FFFFFF99"/>
        </patternFill>
      </fill>
      <alignment horizontal="center" vertical="center" textRotation="0" wrapText="0" indent="0" justifyLastLine="0" shrinkToFit="0" readingOrder="0"/>
      <border diagonalUp="0" diagonalDown="0" outline="0">
        <left style="thin">
          <color theme="4" tint="0.39991454817346722"/>
        </left>
        <right style="thin">
          <color theme="4" tint="0.39991454817346722"/>
        </right>
        <top style="thin">
          <color theme="4" tint="0.39991454817346722"/>
        </top>
        <bottom style="thin">
          <color theme="4" tint="0.39991454817346722"/>
        </bottom>
      </border>
    </dxf>
    <dxf>
      <font>
        <b val="0"/>
        <i val="0"/>
        <strike val="0"/>
        <condense val="0"/>
        <extend val="0"/>
        <outline val="0"/>
        <shadow val="0"/>
        <u val="none"/>
        <vertAlign val="baseline"/>
        <sz val="10"/>
        <color auto="1"/>
        <name val="Arial"/>
        <scheme val="none"/>
      </font>
      <fill>
        <patternFill patternType="solid">
          <bgColor rgb="FFFFFF99"/>
        </patternFill>
      </fill>
      <alignment horizontal="center" vertical="center" textRotation="0" wrapText="0" indent="0" justifyLastLine="0" shrinkToFit="0" readingOrder="0"/>
      <border diagonalUp="0" diagonalDown="0" outline="0">
        <left style="thin">
          <color theme="4" tint="0.39991454817346722"/>
        </left>
        <right style="thin">
          <color theme="4" tint="0.39991454817346722"/>
        </right>
        <top style="thin">
          <color theme="4" tint="0.39991454817346722"/>
        </top>
        <bottom style="thin">
          <color theme="4" tint="0.39991454817346722"/>
        </bottom>
      </border>
    </dxf>
    <dxf>
      <font>
        <b val="0"/>
        <i val="0"/>
        <strike val="0"/>
        <condense val="0"/>
        <extend val="0"/>
        <outline val="0"/>
        <shadow val="0"/>
        <u val="none"/>
        <vertAlign val="baseline"/>
        <sz val="10"/>
        <color auto="1"/>
        <name val="Arial"/>
        <scheme val="none"/>
      </font>
      <fill>
        <patternFill patternType="solid">
          <bgColor rgb="FFFFFF99"/>
        </patternFill>
      </fill>
      <alignment horizontal="center" vertical="center" textRotation="0" wrapText="0" indent="0" justifyLastLine="0" shrinkToFit="0" readingOrder="0"/>
      <border diagonalUp="0" diagonalDown="0" outline="0">
        <left style="thin">
          <color theme="4" tint="0.39991454817346722"/>
        </left>
        <right style="thin">
          <color theme="4" tint="0.39991454817346722"/>
        </right>
        <top style="thin">
          <color theme="4" tint="0.39991454817346722"/>
        </top>
        <bottom style="thin">
          <color theme="4" tint="0.39991454817346722"/>
        </bottom>
      </border>
    </dxf>
    <dxf>
      <font>
        <b val="0"/>
        <i val="0"/>
        <strike val="0"/>
        <condense val="0"/>
        <extend val="0"/>
        <outline val="0"/>
        <shadow val="0"/>
        <u val="none"/>
        <vertAlign val="baseline"/>
        <sz val="10"/>
        <color auto="1"/>
        <name val="Arial"/>
        <scheme val="none"/>
      </font>
      <fill>
        <patternFill patternType="solid">
          <bgColor rgb="FFFFFF99"/>
        </patternFill>
      </fill>
      <alignment horizontal="center" vertical="center" textRotation="0" wrapText="0" indent="0" justifyLastLine="0" shrinkToFit="0" readingOrder="0"/>
      <border diagonalUp="0" diagonalDown="0" outline="0">
        <left style="thin">
          <color theme="4" tint="0.39991454817346722"/>
        </left>
        <right style="thin">
          <color theme="4" tint="0.39991454817346722"/>
        </right>
        <top style="thin">
          <color theme="4" tint="0.39991454817346722"/>
        </top>
        <bottom style="thin">
          <color theme="4" tint="0.39991454817346722"/>
        </bottom>
      </border>
    </dxf>
    <dxf>
      <font>
        <b val="0"/>
        <i val="0"/>
        <strike val="0"/>
        <condense val="0"/>
        <extend val="0"/>
        <outline val="0"/>
        <shadow val="0"/>
        <u val="none"/>
        <vertAlign val="baseline"/>
        <sz val="10"/>
        <color auto="1"/>
        <name val="Arial"/>
        <scheme val="none"/>
      </font>
      <fill>
        <patternFill patternType="solid">
          <bgColor rgb="FFFFFF99"/>
        </patternFill>
      </fill>
      <alignment horizontal="center" vertical="center" textRotation="0" wrapText="0" indent="0" justifyLastLine="0" shrinkToFit="0" readingOrder="0"/>
      <border diagonalUp="0" diagonalDown="0" outline="0">
        <left style="thin">
          <color theme="4" tint="0.39991454817346722"/>
        </left>
        <right style="thin">
          <color theme="4" tint="0.39991454817346722"/>
        </right>
        <top style="thin">
          <color theme="4" tint="0.39991454817346722"/>
        </top>
        <bottom style="thin">
          <color theme="4" tint="0.39991454817346722"/>
        </bottom>
      </border>
    </dxf>
    <dxf>
      <font>
        <b val="0"/>
        <i val="0"/>
        <strike val="0"/>
        <condense val="0"/>
        <extend val="0"/>
        <outline val="0"/>
        <shadow val="0"/>
        <u val="none"/>
        <vertAlign val="baseline"/>
        <sz val="10"/>
        <color auto="1"/>
        <name val="Arial"/>
        <scheme val="none"/>
      </font>
      <fill>
        <patternFill patternType="solid">
          <bgColor rgb="FFFFFF99"/>
        </patternFill>
      </fill>
      <alignment horizontal="center" vertical="center" textRotation="0" wrapText="0" indent="0" justifyLastLine="0" shrinkToFit="0" readingOrder="0"/>
      <border diagonalUp="0" diagonalDown="0" outline="0">
        <left style="thin">
          <color theme="4" tint="0.39991454817346722"/>
        </left>
        <right style="thin">
          <color theme="4" tint="0.39991454817346722"/>
        </right>
        <top style="thin">
          <color theme="4" tint="0.39991454817346722"/>
        </top>
        <bottom style="thin">
          <color theme="4" tint="0.39991454817346722"/>
        </bottom>
      </border>
    </dxf>
    <dxf>
      <font>
        <b val="0"/>
        <i val="0"/>
        <strike val="0"/>
        <condense val="0"/>
        <extend val="0"/>
        <outline val="0"/>
        <shadow val="0"/>
        <u val="none"/>
        <vertAlign val="baseline"/>
        <sz val="10"/>
        <color auto="1"/>
        <name val="Arial"/>
        <scheme val="none"/>
      </font>
      <fill>
        <patternFill patternType="solid">
          <bgColor rgb="FFFFFF99"/>
        </patternFill>
      </fill>
      <alignment horizontal="center" vertical="center" textRotation="0" wrapText="0" indent="0" justifyLastLine="0" shrinkToFit="0" readingOrder="0"/>
      <border diagonalUp="0" diagonalDown="0" outline="0">
        <left style="thin">
          <color theme="4" tint="0.39991454817346722"/>
        </left>
        <right style="thin">
          <color theme="4" tint="0.39991454817346722"/>
        </right>
        <top style="thin">
          <color theme="4" tint="0.39991454817346722"/>
        </top>
        <bottom style="thin">
          <color theme="4" tint="0.39991454817346722"/>
        </bottom>
      </border>
    </dxf>
    <dxf>
      <font>
        <b val="0"/>
        <i val="0"/>
        <strike val="0"/>
        <condense val="0"/>
        <extend val="0"/>
        <outline val="0"/>
        <shadow val="0"/>
        <u val="none"/>
        <vertAlign val="baseline"/>
        <sz val="10"/>
        <color auto="1"/>
        <name val="Arial"/>
        <scheme val="none"/>
      </font>
      <fill>
        <patternFill patternType="solid">
          <bgColor rgb="FFFFFF99"/>
        </patternFill>
      </fill>
      <alignment horizontal="center" vertical="center" textRotation="0" wrapText="0" indent="0" justifyLastLine="0" shrinkToFit="0" readingOrder="0"/>
      <border diagonalUp="0" diagonalDown="0" outline="0">
        <left style="thin">
          <color theme="4" tint="0.39991454817346722"/>
        </left>
        <right style="thin">
          <color theme="4" tint="0.39991454817346722"/>
        </right>
        <top style="thin">
          <color theme="4" tint="0.39991454817346722"/>
        </top>
        <bottom style="thin">
          <color theme="4" tint="0.39991454817346722"/>
        </bottom>
      </border>
    </dxf>
    <dxf>
      <font>
        <b val="0"/>
        <i val="0"/>
        <strike val="0"/>
        <condense val="0"/>
        <extend val="0"/>
        <outline val="0"/>
        <shadow val="0"/>
        <u val="none"/>
        <vertAlign val="baseline"/>
        <sz val="10"/>
        <color auto="1"/>
        <name val="Arial"/>
        <scheme val="none"/>
      </font>
      <numFmt numFmtId="2" formatCode="0.00"/>
      <fill>
        <patternFill patternType="solid">
          <fgColor theme="4" tint="0.79998168889431442"/>
          <bgColor rgb="FFFFFF99"/>
        </patternFill>
      </fill>
      <alignment horizontal="center" vertical="center" textRotation="0" wrapText="1" indent="0" justifyLastLine="0" shrinkToFit="0" readingOrder="0"/>
      <border diagonalUp="0" diagonalDown="0" outline="0">
        <left style="thin">
          <color theme="4" tint="0.39991454817346722"/>
        </left>
        <right style="thin">
          <color theme="4" tint="0.39991454817346722"/>
        </right>
        <top style="thin">
          <color theme="4" tint="0.39991454817346722"/>
        </top>
        <bottom style="thin">
          <color theme="4" tint="0.39991454817346722"/>
        </bottom>
      </border>
    </dxf>
    <dxf>
      <font>
        <b val="0"/>
        <i val="0"/>
        <strike val="0"/>
        <condense val="0"/>
        <extend val="0"/>
        <outline val="0"/>
        <shadow val="0"/>
        <u val="none"/>
        <vertAlign val="baseline"/>
        <sz val="10"/>
        <color auto="1"/>
        <name val="Arial"/>
        <scheme val="none"/>
      </font>
      <fill>
        <patternFill patternType="solid">
          <bgColor rgb="FFFFFF99"/>
        </patternFill>
      </fill>
      <alignment horizontal="center" vertical="center" textRotation="0" wrapText="1" indent="0" justifyLastLine="0" shrinkToFit="0" readingOrder="0"/>
      <border diagonalUp="0" diagonalDown="0" outline="0">
        <left style="thin">
          <color theme="4" tint="0.39991454817346722"/>
        </left>
        <right style="thin">
          <color theme="4" tint="0.39991454817346722"/>
        </right>
        <top style="thin">
          <color theme="4" tint="0.39991454817346722"/>
        </top>
        <bottom style="thin">
          <color theme="4" tint="0.39991454817346722"/>
        </bottom>
      </border>
    </dxf>
    <dxf>
      <font>
        <b val="0"/>
        <i val="0"/>
        <strike val="0"/>
        <condense val="0"/>
        <extend val="0"/>
        <outline val="0"/>
        <shadow val="0"/>
        <u val="none"/>
        <vertAlign val="baseline"/>
        <sz val="10"/>
        <color auto="1"/>
        <name val="Arial"/>
        <scheme val="none"/>
      </font>
      <fill>
        <patternFill patternType="solid">
          <bgColor rgb="FFFFFF99"/>
        </patternFill>
      </fill>
      <alignment horizontal="center" vertical="center" textRotation="0" wrapText="1" indent="0" justifyLastLine="0" shrinkToFit="0" readingOrder="0"/>
      <border diagonalUp="0" diagonalDown="0" outline="0">
        <left style="thin">
          <color theme="4" tint="0.39991454817346722"/>
        </left>
        <right style="thin">
          <color theme="4" tint="0.39991454817346722"/>
        </right>
        <top style="thin">
          <color theme="4" tint="0.39991454817346722"/>
        </top>
        <bottom style="thin">
          <color theme="4" tint="0.39991454817346722"/>
        </bottom>
      </border>
    </dxf>
    <dxf>
      <font>
        <b val="0"/>
        <i val="0"/>
        <strike val="0"/>
        <condense val="0"/>
        <extend val="0"/>
        <outline val="0"/>
        <shadow val="0"/>
        <u val="none"/>
        <vertAlign val="baseline"/>
        <sz val="10"/>
        <color auto="1"/>
        <name val="Arial"/>
        <scheme val="none"/>
      </font>
      <fill>
        <patternFill patternType="solid">
          <bgColor rgb="FFFFFF99"/>
        </patternFill>
      </fill>
      <alignment horizontal="center" vertical="center" textRotation="0" wrapText="1" indent="0" justifyLastLine="0" shrinkToFit="0" readingOrder="0"/>
      <border diagonalUp="0" diagonalDown="0" outline="0">
        <left style="thin">
          <color theme="4" tint="0.39991454817346722"/>
        </left>
        <right style="thin">
          <color theme="4" tint="0.39991454817346722"/>
        </right>
        <top style="thin">
          <color theme="4" tint="0.39991454817346722"/>
        </top>
        <bottom style="thin">
          <color theme="4" tint="0.39991454817346722"/>
        </bottom>
      </border>
    </dxf>
    <dxf>
      <font>
        <b val="0"/>
        <i val="0"/>
        <strike val="0"/>
        <condense val="0"/>
        <extend val="0"/>
        <outline val="0"/>
        <shadow val="0"/>
        <u val="none"/>
        <vertAlign val="baseline"/>
        <sz val="10"/>
        <color auto="1"/>
        <name val="Arial"/>
        <scheme val="none"/>
      </font>
      <fill>
        <patternFill patternType="solid">
          <bgColor rgb="FFFFFF99"/>
        </patternFill>
      </fill>
      <alignment horizontal="center" vertical="center" textRotation="0" wrapText="1" indent="0" justifyLastLine="0" shrinkToFit="0" readingOrder="0"/>
      <border diagonalUp="0" diagonalDown="0" outline="0">
        <left style="thin">
          <color theme="4" tint="0.39991454817346722"/>
        </left>
        <right style="thin">
          <color theme="4" tint="0.39991454817346722"/>
        </right>
        <top style="thin">
          <color theme="4" tint="0.39991454817346722"/>
        </top>
        <bottom style="thin">
          <color theme="4" tint="0.39991454817346722"/>
        </bottom>
      </border>
    </dxf>
    <dxf>
      <font>
        <b val="0"/>
        <i val="0"/>
        <strike val="0"/>
        <condense val="0"/>
        <extend val="0"/>
        <outline val="0"/>
        <shadow val="0"/>
        <u val="none"/>
        <vertAlign val="baseline"/>
        <sz val="10"/>
        <color auto="1"/>
        <name val="Arial"/>
        <scheme val="none"/>
      </font>
      <fill>
        <patternFill patternType="solid">
          <fgColor indexed="64"/>
          <bgColor rgb="FFFFFF99"/>
        </patternFill>
      </fill>
      <alignment horizontal="center" vertical="center" textRotation="0" wrapText="1" indent="0" justifyLastLine="0" shrinkToFit="0" readingOrder="0"/>
      <border diagonalUp="0" diagonalDown="0" outline="0">
        <left style="thin">
          <color theme="4" tint="0.39991454817346722"/>
        </left>
        <right style="thin">
          <color theme="4" tint="0.39991454817346722"/>
        </right>
        <top style="thin">
          <color theme="4" tint="0.39991454817346722"/>
        </top>
        <bottom style="thin">
          <color theme="4" tint="0.39991454817346722"/>
        </bottom>
      </border>
    </dxf>
    <dxf>
      <font>
        <b val="0"/>
        <i val="0"/>
        <strike val="0"/>
        <condense val="0"/>
        <extend val="0"/>
        <outline val="0"/>
        <shadow val="0"/>
        <u val="none"/>
        <vertAlign val="baseline"/>
        <sz val="10"/>
        <color auto="1"/>
        <name val="Arial"/>
        <scheme val="none"/>
      </font>
      <fill>
        <patternFill patternType="solid">
          <fgColor indexed="64"/>
          <bgColor rgb="FFFFFF99"/>
        </patternFill>
      </fill>
      <alignment horizontal="center" vertical="center" textRotation="0" wrapText="1" indent="0" justifyLastLine="0" shrinkToFit="0" readingOrder="0"/>
      <border diagonalUp="0" diagonalDown="0" outline="0">
        <left style="thin">
          <color theme="4" tint="0.39991454817346722"/>
        </left>
        <right style="thin">
          <color theme="4" tint="0.39991454817346722"/>
        </right>
        <top style="thin">
          <color theme="4" tint="0.39991454817346722"/>
        </top>
        <bottom style="thin">
          <color theme="4" tint="0.39991454817346722"/>
        </bottom>
      </border>
    </dxf>
    <dxf>
      <font>
        <b val="0"/>
        <i val="0"/>
        <strike val="0"/>
        <condense val="0"/>
        <extend val="0"/>
        <outline val="0"/>
        <shadow val="0"/>
        <u val="none"/>
        <vertAlign val="baseline"/>
        <sz val="10"/>
        <color auto="1"/>
        <name val="Arial"/>
        <scheme val="none"/>
      </font>
      <fill>
        <patternFill patternType="solid">
          <fgColor indexed="64"/>
          <bgColor rgb="FFFFFF99"/>
        </patternFill>
      </fill>
      <alignment horizontal="center" vertical="center" textRotation="0" wrapText="1" indent="0" justifyLastLine="0" shrinkToFit="0" readingOrder="0"/>
      <border diagonalUp="0" diagonalDown="0" outline="0">
        <left style="thin">
          <color theme="4" tint="0.39991454817346722"/>
        </left>
        <right style="thin">
          <color theme="4" tint="0.39991454817346722"/>
        </right>
        <top style="thin">
          <color theme="4" tint="0.39991454817346722"/>
        </top>
        <bottom style="thin">
          <color theme="4" tint="0.39991454817346722"/>
        </bottom>
      </border>
    </dxf>
    <dxf>
      <font>
        <b/>
        <i val="0"/>
        <strike val="0"/>
        <condense val="0"/>
        <extend val="0"/>
        <outline val="0"/>
        <shadow val="0"/>
        <u val="none"/>
        <vertAlign val="baseline"/>
        <sz val="10"/>
        <color auto="1"/>
        <name val="Arial"/>
        <scheme val="none"/>
      </font>
      <fill>
        <patternFill patternType="solid">
          <fgColor indexed="64"/>
          <bgColor rgb="FFFFFF99"/>
        </patternFill>
      </fill>
      <alignment horizontal="center" vertical="center" textRotation="0" wrapText="1" indent="0" justifyLastLine="0" shrinkToFit="0" readingOrder="0"/>
      <border diagonalUp="0" diagonalDown="0" outline="0">
        <left style="thin">
          <color theme="4" tint="0.39994506668294322"/>
        </left>
        <right style="thin">
          <color theme="4" tint="0.39991454817346722"/>
        </right>
        <top/>
        <bottom/>
      </border>
    </dxf>
    <dxf>
      <border outline="0">
        <left style="thin">
          <color theme="4" tint="0.39997558519241921"/>
        </left>
      </border>
    </dxf>
    <dxf>
      <font>
        <b val="0"/>
        <i val="0"/>
        <strike val="0"/>
        <condense val="0"/>
        <extend val="0"/>
        <outline val="0"/>
        <shadow val="0"/>
        <u val="none"/>
        <vertAlign val="baseline"/>
        <sz val="10"/>
        <color auto="1"/>
        <name val="Arial"/>
        <scheme val="none"/>
      </font>
      <fill>
        <patternFill patternType="solid">
          <bgColor rgb="FFFFFF99"/>
        </patternFill>
      </fill>
      <alignment horizontal="center" vertical="center" textRotation="0" wrapText="0" indent="0" justifyLastLine="0" shrinkToFit="0" readingOrder="0"/>
    </dxf>
    <dxf>
      <font>
        <b/>
        <i val="0"/>
        <strike val="0"/>
        <condense val="0"/>
        <extend val="0"/>
        <outline val="0"/>
        <shadow val="0"/>
        <u val="none"/>
        <vertAlign val="baseline"/>
        <sz val="10"/>
        <color rgb="FF9C0006"/>
        <name val="Arial"/>
        <scheme val="none"/>
      </font>
      <fill>
        <patternFill patternType="solid">
          <fgColor indexed="64"/>
          <bgColor theme="5" tint="0.59999389629810485"/>
        </patternFill>
      </fill>
      <alignment horizontal="center" vertical="center" textRotation="0" wrapText="1" indent="0" justifyLastLine="0" shrinkToFit="0" readingOrder="0"/>
    </dxf>
  </dxfs>
  <tableStyles count="0" defaultTableStyle="TableStyleMedium2" defaultPivotStyle="PivotStyleLight16"/>
  <colors>
    <mruColors>
      <color rgb="FFFFFF99"/>
      <color rgb="FF99FF99"/>
      <color rgb="FFFFFFCC"/>
      <color rgb="FFFFFF9F"/>
      <color rgb="FFF9E7C7"/>
      <color rgb="FFFFFFE1"/>
      <color rgb="FFFFFFC1"/>
      <color rgb="FFFFFFFF"/>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50"/>
            </a:pPr>
            <a:r>
              <a:rPr lang="en-GB" sz="1050"/>
              <a:t>N supply  Kg/ha</a:t>
            </a:r>
          </a:p>
        </c:rich>
      </c:tx>
      <c:overlay val="1"/>
    </c:title>
    <c:autoTitleDeleted val="0"/>
    <c:plotArea>
      <c:layout>
        <c:manualLayout>
          <c:layoutTarget val="inner"/>
          <c:xMode val="edge"/>
          <c:yMode val="edge"/>
          <c:x val="0.10603208876462829"/>
          <c:y val="6.4847118290698988E-2"/>
          <c:w val="0.51803529172297058"/>
          <c:h val="0.63305365480621845"/>
        </c:manualLayout>
      </c:layout>
      <c:barChart>
        <c:barDir val="col"/>
        <c:grouping val="clustered"/>
        <c:varyColors val="0"/>
        <c:ser>
          <c:idx val="0"/>
          <c:order val="0"/>
          <c:tx>
            <c:strRef>
              <c:f>'fertiliser demand calculation'!$B$10</c:f>
              <c:strCache>
                <c:ptCount val="1"/>
                <c:pt idx="0">
                  <c:v>Total demandN kg/ha</c:v>
                </c:pt>
              </c:strCache>
            </c:strRef>
          </c:tx>
          <c:invertIfNegative val="0"/>
          <c:cat>
            <c:strRef>
              <c:f>'fertiliser demand calculation'!$A$11:$A$30</c:f>
              <c:strCache>
                <c:ptCount val="20"/>
                <c:pt idx="0">
                  <c:v>wheat </c:v>
                </c:pt>
                <c:pt idx="1">
                  <c:v>barley</c:v>
                </c:pt>
                <c:pt idx="2">
                  <c:v>peas*</c:v>
                </c:pt>
                <c:pt idx="3">
                  <c:v>broad beans*</c:v>
                </c:pt>
                <c:pt idx="4">
                  <c:v>oat</c:v>
                </c:pt>
                <c:pt idx="5">
                  <c:v>potato</c:v>
                </c:pt>
                <c:pt idx="6">
                  <c:v>onion</c:v>
                </c:pt>
                <c:pt idx="7">
                  <c:v>lettuce and Green-Leaf Crops</c:v>
                </c:pt>
                <c:pt idx="8">
                  <c:v>carrot </c:v>
                </c:pt>
                <c:pt idx="9">
                  <c:v>Radish </c:v>
                </c:pt>
                <c:pt idx="10">
                  <c:v>Millets</c:v>
                </c:pt>
                <c:pt idx="11">
                  <c:v>tomato</c:v>
                </c:pt>
                <c:pt idx="12">
                  <c:v>water melon</c:v>
                </c:pt>
                <c:pt idx="13">
                  <c:v>cucumber</c:v>
                </c:pt>
                <c:pt idx="14">
                  <c:v>eggplant</c:v>
                </c:pt>
                <c:pt idx="15">
                  <c:v>pepper</c:v>
                </c:pt>
                <c:pt idx="16">
                  <c:v>cauliflower</c:v>
                </c:pt>
                <c:pt idx="17">
                  <c:v>olive tree</c:v>
                </c:pt>
                <c:pt idx="18">
                  <c:v>palm tree</c:v>
                </c:pt>
                <c:pt idx="19">
                  <c:v>alfalfa*</c:v>
                </c:pt>
              </c:strCache>
            </c:strRef>
          </c:cat>
          <c:val>
            <c:numRef>
              <c:f>'fertiliser demand calculation'!$B$11:$B$30</c:f>
              <c:numCache>
                <c:formatCode>0.0</c:formatCode>
                <c:ptCount val="20"/>
                <c:pt idx="0">
                  <c:v>0</c:v>
                </c:pt>
                <c:pt idx="1">
                  <c:v>0</c:v>
                </c:pt>
                <c:pt idx="2">
                  <c:v>0</c:v>
                </c:pt>
                <c:pt idx="3">
                  <c:v>0</c:v>
                </c:pt>
                <c:pt idx="4">
                  <c:v>0</c:v>
                </c:pt>
                <c:pt idx="5">
                  <c:v>0</c:v>
                </c:pt>
                <c:pt idx="6">
                  <c:v>0</c:v>
                </c:pt>
                <c:pt idx="7">
                  <c:v>114</c:v>
                </c:pt>
                <c:pt idx="8">
                  <c:v>72.5</c:v>
                </c:pt>
                <c:pt idx="9">
                  <c:v>290</c:v>
                </c:pt>
                <c:pt idx="10">
                  <c:v>42.84</c:v>
                </c:pt>
                <c:pt idx="11">
                  <c:v>162</c:v>
                </c:pt>
                <c:pt idx="12">
                  <c:v>0</c:v>
                </c:pt>
                <c:pt idx="13">
                  <c:v>26</c:v>
                </c:pt>
                <c:pt idx="14">
                  <c:v>72.8</c:v>
                </c:pt>
                <c:pt idx="15">
                  <c:v>36.299999999999997</c:v>
                </c:pt>
                <c:pt idx="16">
                  <c:v>53</c:v>
                </c:pt>
                <c:pt idx="17">
                  <c:v>0</c:v>
                </c:pt>
                <c:pt idx="18">
                  <c:v>0</c:v>
                </c:pt>
                <c:pt idx="19">
                  <c:v>0</c:v>
                </c:pt>
              </c:numCache>
            </c:numRef>
          </c:val>
          <c:extLst xmlns:c16r2="http://schemas.microsoft.com/office/drawing/2015/06/chart">
            <c:ext xmlns:c16="http://schemas.microsoft.com/office/drawing/2014/chart" uri="{C3380CC4-5D6E-409C-BE32-E72D297353CC}">
              <c16:uniqueId val="{00000000-DCF2-4554-A0F1-3C96F46CA14C}"/>
            </c:ext>
          </c:extLst>
        </c:ser>
        <c:ser>
          <c:idx val="1"/>
          <c:order val="1"/>
          <c:tx>
            <c:strRef>
              <c:f>'fertiliser demand calculation'!$E$10</c:f>
              <c:strCache>
                <c:ptCount val="1"/>
                <c:pt idx="0">
                  <c:v>N-  from irrigation water kg/ha</c:v>
                </c:pt>
              </c:strCache>
            </c:strRef>
          </c:tx>
          <c:invertIfNegative val="0"/>
          <c:cat>
            <c:strRef>
              <c:f>'fertiliser demand calculation'!$A$11:$A$30</c:f>
              <c:strCache>
                <c:ptCount val="20"/>
                <c:pt idx="0">
                  <c:v>wheat </c:v>
                </c:pt>
                <c:pt idx="1">
                  <c:v>barley</c:v>
                </c:pt>
                <c:pt idx="2">
                  <c:v>peas*</c:v>
                </c:pt>
                <c:pt idx="3">
                  <c:v>broad beans*</c:v>
                </c:pt>
                <c:pt idx="4">
                  <c:v>oat</c:v>
                </c:pt>
                <c:pt idx="5">
                  <c:v>potato</c:v>
                </c:pt>
                <c:pt idx="6">
                  <c:v>onion</c:v>
                </c:pt>
                <c:pt idx="7">
                  <c:v>lettuce and Green-Leaf Crops</c:v>
                </c:pt>
                <c:pt idx="8">
                  <c:v>carrot </c:v>
                </c:pt>
                <c:pt idx="9">
                  <c:v>Radish </c:v>
                </c:pt>
                <c:pt idx="10">
                  <c:v>Millets</c:v>
                </c:pt>
                <c:pt idx="11">
                  <c:v>tomato</c:v>
                </c:pt>
                <c:pt idx="12">
                  <c:v>water melon</c:v>
                </c:pt>
                <c:pt idx="13">
                  <c:v>cucumber</c:v>
                </c:pt>
                <c:pt idx="14">
                  <c:v>eggplant</c:v>
                </c:pt>
                <c:pt idx="15">
                  <c:v>pepper</c:v>
                </c:pt>
                <c:pt idx="16">
                  <c:v>cauliflower</c:v>
                </c:pt>
                <c:pt idx="17">
                  <c:v>olive tree</c:v>
                </c:pt>
                <c:pt idx="18">
                  <c:v>palm tree</c:v>
                </c:pt>
                <c:pt idx="19">
                  <c:v>alfalfa*</c:v>
                </c:pt>
              </c:strCache>
            </c:strRef>
          </c:cat>
          <c:val>
            <c:numRef>
              <c:f>'fertiliser demand calculation'!$E$11:$E$30</c:f>
              <c:numCache>
                <c:formatCode>0.00</c:formatCode>
                <c:ptCount val="20"/>
                <c:pt idx="0">
                  <c:v>0</c:v>
                </c:pt>
                <c:pt idx="1">
                  <c:v>0</c:v>
                </c:pt>
                <c:pt idx="2">
                  <c:v>0</c:v>
                </c:pt>
                <c:pt idx="3">
                  <c:v>0</c:v>
                </c:pt>
                <c:pt idx="4">
                  <c:v>0</c:v>
                </c:pt>
                <c:pt idx="5">
                  <c:v>0</c:v>
                </c:pt>
                <c:pt idx="6">
                  <c:v>0</c:v>
                </c:pt>
                <c:pt idx="7">
                  <c:v>45.9</c:v>
                </c:pt>
                <c:pt idx="8">
                  <c:v>59.798360655737703</c:v>
                </c:pt>
                <c:pt idx="9">
                  <c:v>18.358937198067629</c:v>
                </c:pt>
                <c:pt idx="10">
                  <c:v>81.403636363636366</c:v>
                </c:pt>
                <c:pt idx="11">
                  <c:v>79.831818181818178</c:v>
                </c:pt>
                <c:pt idx="12">
                  <c:v>0</c:v>
                </c:pt>
                <c:pt idx="13">
                  <c:v>57.020833333333329</c:v>
                </c:pt>
                <c:pt idx="14">
                  <c:v>105.68703703703703</c:v>
                </c:pt>
                <c:pt idx="15">
                  <c:v>116.90353535353533</c:v>
                </c:pt>
                <c:pt idx="16">
                  <c:v>62.416666666666664</c:v>
                </c:pt>
                <c:pt idx="17">
                  <c:v>0</c:v>
                </c:pt>
                <c:pt idx="18">
                  <c:v>0</c:v>
                </c:pt>
                <c:pt idx="19">
                  <c:v>0</c:v>
                </c:pt>
              </c:numCache>
            </c:numRef>
          </c:val>
          <c:extLst xmlns:c16r2="http://schemas.microsoft.com/office/drawing/2015/06/chart">
            <c:ext xmlns:c16="http://schemas.microsoft.com/office/drawing/2014/chart" uri="{C3380CC4-5D6E-409C-BE32-E72D297353CC}">
              <c16:uniqueId val="{00000001-DCF2-4554-A0F1-3C96F46CA14C}"/>
            </c:ext>
          </c:extLst>
        </c:ser>
        <c:ser>
          <c:idx val="2"/>
          <c:order val="2"/>
          <c:tx>
            <c:strRef>
              <c:f>'fertiliser demand calculation'!$K$10</c:f>
              <c:strCache>
                <c:ptCount val="1"/>
                <c:pt idx="0">
                  <c:v>excessive N kg/ha</c:v>
                </c:pt>
              </c:strCache>
            </c:strRef>
          </c:tx>
          <c:invertIfNegative val="0"/>
          <c:cat>
            <c:strRef>
              <c:f>'fertiliser demand calculation'!$A$11:$A$30</c:f>
              <c:strCache>
                <c:ptCount val="20"/>
                <c:pt idx="0">
                  <c:v>wheat </c:v>
                </c:pt>
                <c:pt idx="1">
                  <c:v>barley</c:v>
                </c:pt>
                <c:pt idx="2">
                  <c:v>peas*</c:v>
                </c:pt>
                <c:pt idx="3">
                  <c:v>broad beans*</c:v>
                </c:pt>
                <c:pt idx="4">
                  <c:v>oat</c:v>
                </c:pt>
                <c:pt idx="5">
                  <c:v>potato</c:v>
                </c:pt>
                <c:pt idx="6">
                  <c:v>onion</c:v>
                </c:pt>
                <c:pt idx="7">
                  <c:v>lettuce and Green-Leaf Crops</c:v>
                </c:pt>
                <c:pt idx="8">
                  <c:v>carrot </c:v>
                </c:pt>
                <c:pt idx="9">
                  <c:v>Radish </c:v>
                </c:pt>
                <c:pt idx="10">
                  <c:v>Millets</c:v>
                </c:pt>
                <c:pt idx="11">
                  <c:v>tomato</c:v>
                </c:pt>
                <c:pt idx="12">
                  <c:v>water melon</c:v>
                </c:pt>
                <c:pt idx="13">
                  <c:v>cucumber</c:v>
                </c:pt>
                <c:pt idx="14">
                  <c:v>eggplant</c:v>
                </c:pt>
                <c:pt idx="15">
                  <c:v>pepper</c:v>
                </c:pt>
                <c:pt idx="16">
                  <c:v>cauliflower</c:v>
                </c:pt>
                <c:pt idx="17">
                  <c:v>olive tree</c:v>
                </c:pt>
                <c:pt idx="18">
                  <c:v>palm tree</c:v>
                </c:pt>
                <c:pt idx="19">
                  <c:v>alfalfa*</c:v>
                </c:pt>
              </c:strCache>
            </c:strRef>
          </c:cat>
          <c:val>
            <c:numRef>
              <c:f>'fertiliser demand calculation'!$K$11:$K$30</c:f>
              <c:numCache>
                <c:formatCode>General</c:formatCode>
                <c:ptCount val="20"/>
                <c:pt idx="0">
                  <c:v>0</c:v>
                </c:pt>
                <c:pt idx="1">
                  <c:v>0</c:v>
                </c:pt>
                <c:pt idx="2">
                  <c:v>0</c:v>
                </c:pt>
                <c:pt idx="3">
                  <c:v>0</c:v>
                </c:pt>
                <c:pt idx="4">
                  <c:v>0</c:v>
                </c:pt>
                <c:pt idx="5">
                  <c:v>0</c:v>
                </c:pt>
                <c:pt idx="6">
                  <c:v>0</c:v>
                </c:pt>
                <c:pt idx="7">
                  <c:v>0</c:v>
                </c:pt>
                <c:pt idx="8">
                  <c:v>0</c:v>
                </c:pt>
                <c:pt idx="9">
                  <c:v>0</c:v>
                </c:pt>
                <c:pt idx="10">
                  <c:v>-38.563636363636363</c:v>
                </c:pt>
                <c:pt idx="11">
                  <c:v>0</c:v>
                </c:pt>
                <c:pt idx="12">
                  <c:v>0</c:v>
                </c:pt>
                <c:pt idx="13">
                  <c:v>-31.020833333333329</c:v>
                </c:pt>
                <c:pt idx="14">
                  <c:v>-32.887037037037032</c:v>
                </c:pt>
                <c:pt idx="15">
                  <c:v>-80.603535353535335</c:v>
                </c:pt>
                <c:pt idx="16">
                  <c:v>-9.4166666666666643</c:v>
                </c:pt>
                <c:pt idx="17">
                  <c:v>0</c:v>
                </c:pt>
                <c:pt idx="18">
                  <c:v>0</c:v>
                </c:pt>
                <c:pt idx="19">
                  <c:v>0</c:v>
                </c:pt>
              </c:numCache>
            </c:numRef>
          </c:val>
          <c:extLst xmlns:c16r2="http://schemas.microsoft.com/office/drawing/2015/06/chart">
            <c:ext xmlns:c16="http://schemas.microsoft.com/office/drawing/2014/chart" uri="{C3380CC4-5D6E-409C-BE32-E72D297353CC}">
              <c16:uniqueId val="{00000002-DCF2-4554-A0F1-3C96F46CA14C}"/>
            </c:ext>
          </c:extLst>
        </c:ser>
        <c:dLbls>
          <c:showLegendKey val="0"/>
          <c:showVal val="0"/>
          <c:showCatName val="0"/>
          <c:showSerName val="0"/>
          <c:showPercent val="0"/>
          <c:showBubbleSize val="0"/>
        </c:dLbls>
        <c:gapWidth val="150"/>
        <c:axId val="240647192"/>
        <c:axId val="240669336"/>
      </c:barChart>
      <c:catAx>
        <c:axId val="240647192"/>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40669336"/>
        <c:crosses val="autoZero"/>
        <c:auto val="1"/>
        <c:lblAlgn val="ctr"/>
        <c:lblOffset val="100"/>
        <c:noMultiLvlLbl val="0"/>
      </c:catAx>
      <c:valAx>
        <c:axId val="240669336"/>
        <c:scaling>
          <c:orientation val="minMax"/>
        </c:scaling>
        <c:delete val="0"/>
        <c:axPos val="l"/>
        <c:majorGridlines/>
        <c:title>
          <c:tx>
            <c:rich>
              <a:bodyPr rot="-5400000" vert="horz"/>
              <a:lstStyle/>
              <a:p>
                <a:pPr>
                  <a:defRPr/>
                </a:pPr>
                <a:r>
                  <a:rPr lang="en-GB"/>
                  <a:t>kg/ha</a:t>
                </a:r>
              </a:p>
            </c:rich>
          </c:tx>
          <c:overlay val="0"/>
        </c:title>
        <c:numFmt formatCode="0.0" sourceLinked="1"/>
        <c:majorTickMark val="out"/>
        <c:minorTickMark val="none"/>
        <c:tickLblPos val="nextTo"/>
        <c:crossAx val="240647192"/>
        <c:crosses val="autoZero"/>
        <c:crossBetween val="between"/>
      </c:valAx>
    </c:plotArea>
    <c:legend>
      <c:legendPos val="r"/>
      <c:layout>
        <c:manualLayout>
          <c:xMode val="edge"/>
          <c:yMode val="edge"/>
          <c:x val="0.66279647190808755"/>
          <c:y val="0.35654685301912731"/>
          <c:w val="0.32541959966533146"/>
          <c:h val="0.27777387605942638"/>
        </c:manualLayout>
      </c:layout>
      <c:overlay val="0"/>
      <c:txPr>
        <a:bodyPr/>
        <a:lstStyle/>
        <a:p>
          <a:pPr>
            <a:defRPr sz="1050"/>
          </a:pPr>
          <a:endParaRPr lang="en-US"/>
        </a:p>
      </c:txPr>
    </c:legend>
    <c:plotVisOnly val="1"/>
    <c:dispBlanksAs val="gap"/>
    <c:showDLblsOverMax val="0"/>
  </c:chart>
  <c:txPr>
    <a:bodyPr/>
    <a:lstStyle/>
    <a:p>
      <a:pPr>
        <a:defRPr sz="800"/>
      </a:pPr>
      <a:endParaRPr lang="en-US"/>
    </a:p>
  </c:tx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8.4046780025783641E-2"/>
          <c:y val="9.682738276971424E-2"/>
          <c:w val="0.49215943263482592"/>
          <c:h val="0.38759291857411177"/>
        </c:manualLayout>
      </c:layout>
      <c:barChart>
        <c:barDir val="col"/>
        <c:grouping val="clustered"/>
        <c:varyColors val="0"/>
        <c:ser>
          <c:idx val="1"/>
          <c:order val="0"/>
          <c:tx>
            <c:strRef>
              <c:f>'water demand calculation'!$G$5:$G$6</c:f>
              <c:strCache>
                <c:ptCount val="2"/>
                <c:pt idx="0">
                  <c:v>Total irrgation with leaching</c:v>
                </c:pt>
                <c:pt idx="1">
                  <c:v>TR m3/ha</c:v>
                </c:pt>
              </c:strCache>
            </c:strRef>
          </c:tx>
          <c:invertIfNegative val="0"/>
          <c:cat>
            <c:strRef>
              <c:f>'water demand calculation'!$A$7:$A$26</c:f>
              <c:strCache>
                <c:ptCount val="20"/>
                <c:pt idx="0">
                  <c:v>wheat </c:v>
                </c:pt>
                <c:pt idx="1">
                  <c:v>barley</c:v>
                </c:pt>
                <c:pt idx="2">
                  <c:v>peas*</c:v>
                </c:pt>
                <c:pt idx="3">
                  <c:v>broad beans*</c:v>
                </c:pt>
                <c:pt idx="4">
                  <c:v>oat</c:v>
                </c:pt>
                <c:pt idx="5">
                  <c:v>potato</c:v>
                </c:pt>
                <c:pt idx="6">
                  <c:v>onion</c:v>
                </c:pt>
                <c:pt idx="7">
                  <c:v>lettuce and Green-Leaf Crops</c:v>
                </c:pt>
                <c:pt idx="8">
                  <c:v>carrot </c:v>
                </c:pt>
                <c:pt idx="9">
                  <c:v>Radish </c:v>
                </c:pt>
                <c:pt idx="10">
                  <c:v>Millets</c:v>
                </c:pt>
                <c:pt idx="11">
                  <c:v>tomato</c:v>
                </c:pt>
                <c:pt idx="12">
                  <c:v>water melon</c:v>
                </c:pt>
                <c:pt idx="13">
                  <c:v>cucumber</c:v>
                </c:pt>
                <c:pt idx="14">
                  <c:v>eggplant</c:v>
                </c:pt>
                <c:pt idx="15">
                  <c:v>pepper</c:v>
                </c:pt>
                <c:pt idx="16">
                  <c:v>cauliflower</c:v>
                </c:pt>
                <c:pt idx="17">
                  <c:v>olive tree</c:v>
                </c:pt>
                <c:pt idx="18">
                  <c:v>palm tree</c:v>
                </c:pt>
                <c:pt idx="19">
                  <c:v>alfalfa*</c:v>
                </c:pt>
              </c:strCache>
            </c:strRef>
          </c:cat>
          <c:val>
            <c:numRef>
              <c:f>'water demand calculation'!$G$7:$G$26</c:f>
              <c:numCache>
                <c:formatCode>#,##0.00</c:formatCode>
                <c:ptCount val="20"/>
                <c:pt idx="0">
                  <c:v>0</c:v>
                </c:pt>
                <c:pt idx="1">
                  <c:v>0</c:v>
                </c:pt>
                <c:pt idx="2">
                  <c:v>0</c:v>
                </c:pt>
                <c:pt idx="3">
                  <c:v>0</c:v>
                </c:pt>
                <c:pt idx="4">
                  <c:v>0</c:v>
                </c:pt>
                <c:pt idx="5">
                  <c:v>0</c:v>
                </c:pt>
                <c:pt idx="6">
                  <c:v>0</c:v>
                </c:pt>
                <c:pt idx="7">
                  <c:v>4371.4285714285716</c:v>
                </c:pt>
                <c:pt idx="8">
                  <c:v>5695.0819672131147</c:v>
                </c:pt>
                <c:pt idx="9">
                  <c:v>1748.4702093397743</c:v>
                </c:pt>
                <c:pt idx="10">
                  <c:v>7752.727272727273</c:v>
                </c:pt>
                <c:pt idx="11">
                  <c:v>7603.030303030303</c:v>
                </c:pt>
                <c:pt idx="12">
                  <c:v>0</c:v>
                </c:pt>
                <c:pt idx="13">
                  <c:v>5430.5555555555547</c:v>
                </c:pt>
                <c:pt idx="14">
                  <c:v>10065.432098765432</c:v>
                </c:pt>
                <c:pt idx="15">
                  <c:v>11133.670033670032</c:v>
                </c:pt>
                <c:pt idx="16">
                  <c:v>5944.4444444444443</c:v>
                </c:pt>
                <c:pt idx="17">
                  <c:v>0</c:v>
                </c:pt>
                <c:pt idx="18">
                  <c:v>0</c:v>
                </c:pt>
                <c:pt idx="19">
                  <c:v>0</c:v>
                </c:pt>
              </c:numCache>
            </c:numRef>
          </c:val>
          <c:extLst xmlns:c16r2="http://schemas.microsoft.com/office/drawing/2015/06/chart">
            <c:ext xmlns:c16="http://schemas.microsoft.com/office/drawing/2014/chart" uri="{C3380CC4-5D6E-409C-BE32-E72D297353CC}">
              <c16:uniqueId val="{00000000-93D7-468A-81AA-56E44356D58D}"/>
            </c:ext>
          </c:extLst>
        </c:ser>
        <c:dLbls>
          <c:showLegendKey val="0"/>
          <c:showVal val="0"/>
          <c:showCatName val="0"/>
          <c:showSerName val="0"/>
          <c:showPercent val="0"/>
          <c:showBubbleSize val="0"/>
        </c:dLbls>
        <c:gapWidth val="150"/>
        <c:axId val="183127280"/>
        <c:axId val="15773608"/>
      </c:barChart>
      <c:catAx>
        <c:axId val="183127280"/>
        <c:scaling>
          <c:orientation val="minMax"/>
        </c:scaling>
        <c:delete val="0"/>
        <c:axPos val="b"/>
        <c:numFmt formatCode="General" sourceLinked="1"/>
        <c:majorTickMark val="out"/>
        <c:minorTickMark val="none"/>
        <c:tickLblPos val="nextTo"/>
        <c:txPr>
          <a:bodyPr/>
          <a:lstStyle/>
          <a:p>
            <a:pPr>
              <a:defRPr sz="1000"/>
            </a:pPr>
            <a:endParaRPr lang="en-US"/>
          </a:p>
        </c:txPr>
        <c:crossAx val="15773608"/>
        <c:crosses val="autoZero"/>
        <c:auto val="1"/>
        <c:lblAlgn val="ctr"/>
        <c:lblOffset val="200"/>
        <c:noMultiLvlLbl val="0"/>
      </c:catAx>
      <c:valAx>
        <c:axId val="15773608"/>
        <c:scaling>
          <c:orientation val="minMax"/>
        </c:scaling>
        <c:delete val="0"/>
        <c:axPos val="l"/>
        <c:majorGridlines/>
        <c:numFmt formatCode="#,##0.00" sourceLinked="1"/>
        <c:majorTickMark val="out"/>
        <c:minorTickMark val="none"/>
        <c:tickLblPos val="nextTo"/>
        <c:crossAx val="18312728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37752856650481"/>
          <c:y val="4.0293040293040303E-2"/>
          <c:w val="0.85126696946747504"/>
          <c:h val="0.57288888029045504"/>
        </c:manualLayout>
      </c:layout>
      <c:barChart>
        <c:barDir val="col"/>
        <c:grouping val="clustered"/>
        <c:varyColors val="0"/>
        <c:ser>
          <c:idx val="0"/>
          <c:order val="0"/>
          <c:tx>
            <c:strRef>
              <c:f>'Health impact calculation'!$D$4</c:f>
              <c:strCache>
                <c:ptCount val="1"/>
                <c:pt idx="0">
                  <c:v>treatment + drip irrigation </c:v>
                </c:pt>
              </c:strCache>
            </c:strRef>
          </c:tx>
          <c:spPr>
            <a:solidFill>
              <a:schemeClr val="bg2">
                <a:lumMod val="25000"/>
              </a:schemeClr>
            </a:solidFill>
            <a:ln>
              <a:noFill/>
            </a:ln>
            <a:effectLst/>
          </c:spPr>
          <c:invertIfNegative val="0"/>
          <c:cat>
            <c:strRef>
              <c:f>'Health impact calculation'!$C$5:$J$5</c:f>
              <c:strCache>
                <c:ptCount val="8"/>
                <c:pt idx="0">
                  <c:v>conventional activated sludge </c:v>
                </c:pt>
                <c:pt idx="1">
                  <c:v>on site( Three-tank system )</c:v>
                </c:pt>
                <c:pt idx="2">
                  <c:v>on site(Three-tank system +sand Filter)</c:v>
                </c:pt>
                <c:pt idx="3">
                  <c:v>septic tank+   (WSP)</c:v>
                </c:pt>
                <c:pt idx="4">
                  <c:v>treatment plant  (WSP)</c:v>
                </c:pt>
                <c:pt idx="5">
                  <c:v>treatment plant (Conventional activated sludge+ disinfection)</c:v>
                </c:pt>
                <c:pt idx="6">
                  <c:v>Activated sludge+ Biological Nitrogen Removal (MLE)+ disinfection</c:v>
                </c:pt>
                <c:pt idx="7">
                  <c:v>Activated sludge+ Ultrfiltration+ reverse osmosis</c:v>
                </c:pt>
              </c:strCache>
            </c:strRef>
          </c:cat>
          <c:val>
            <c:numRef>
              <c:f>'Health impact calculation'!$C$21:$J$21</c:f>
              <c:numCache>
                <c:formatCode>0.00%</c:formatCode>
                <c:ptCount val="8"/>
                <c:pt idx="0">
                  <c:v>0.89377358490566039</c:v>
                </c:pt>
                <c:pt idx="1">
                  <c:v>0.89377358490566039</c:v>
                </c:pt>
                <c:pt idx="2">
                  <c:v>0.99868235849056608</c:v>
                </c:pt>
                <c:pt idx="3">
                  <c:v>0.98506603773584911</c:v>
                </c:pt>
                <c:pt idx="4">
                  <c:v>0.98506603773584911</c:v>
                </c:pt>
                <c:pt idx="5">
                  <c:v>0.99674905660377366</c:v>
                </c:pt>
                <c:pt idx="6">
                  <c:v>0.99674905660377366</c:v>
                </c:pt>
                <c:pt idx="7">
                  <c:v>0.99997917358490562</c:v>
                </c:pt>
              </c:numCache>
            </c:numRef>
          </c:val>
          <c:extLst xmlns:c16r2="http://schemas.microsoft.com/office/drawing/2015/06/chart">
            <c:ext xmlns:c16="http://schemas.microsoft.com/office/drawing/2014/chart" uri="{C3380CC4-5D6E-409C-BE32-E72D297353CC}">
              <c16:uniqueId val="{00000000-6B51-419C-83DC-AFAD5281A226}"/>
            </c:ext>
          </c:extLst>
        </c:ser>
        <c:ser>
          <c:idx val="1"/>
          <c:order val="1"/>
          <c:tx>
            <c:strRef>
              <c:f>'Health impact calculation'!$N$4</c:f>
              <c:strCache>
                <c:ptCount val="1"/>
                <c:pt idx="0">
                  <c:v>treatment +crop restriction </c:v>
                </c:pt>
              </c:strCache>
            </c:strRef>
          </c:tx>
          <c:spPr>
            <a:solidFill>
              <a:srgbClr val="FFC000"/>
            </a:solidFill>
            <a:ln>
              <a:noFill/>
            </a:ln>
            <a:effectLst/>
          </c:spPr>
          <c:invertIfNegative val="0"/>
          <c:cat>
            <c:strRef>
              <c:f>'Health impact calculation'!$C$5:$J$5</c:f>
              <c:strCache>
                <c:ptCount val="8"/>
                <c:pt idx="0">
                  <c:v>conventional activated sludge </c:v>
                </c:pt>
                <c:pt idx="1">
                  <c:v>on site( Three-tank system )</c:v>
                </c:pt>
                <c:pt idx="2">
                  <c:v>on site(Three-tank system +sand Filter)</c:v>
                </c:pt>
                <c:pt idx="3">
                  <c:v>septic tank+   (WSP)</c:v>
                </c:pt>
                <c:pt idx="4">
                  <c:v>treatment plant  (WSP)</c:v>
                </c:pt>
                <c:pt idx="5">
                  <c:v>treatment plant (Conventional activated sludge+ disinfection)</c:v>
                </c:pt>
                <c:pt idx="6">
                  <c:v>Activated sludge+ Biological Nitrogen Removal (MLE)+ disinfection</c:v>
                </c:pt>
                <c:pt idx="7">
                  <c:v>Activated sludge+ Ultrfiltration+ reverse osmosis</c:v>
                </c:pt>
              </c:strCache>
            </c:strRef>
          </c:cat>
          <c:val>
            <c:numRef>
              <c:f>'Health impact calculation'!$N$21:$U$21</c:f>
              <c:numCache>
                <c:formatCode>0.000%</c:formatCode>
                <c:ptCount val="8"/>
                <c:pt idx="0">
                  <c:v>0.57047789191603382</c:v>
                </c:pt>
                <c:pt idx="1">
                  <c:v>0.57047789191603382</c:v>
                </c:pt>
                <c:pt idx="2">
                  <c:v>0.99255649843680205</c:v>
                </c:pt>
                <c:pt idx="3">
                  <c:v>0.92627958910227792</c:v>
                </c:pt>
                <c:pt idx="4">
                  <c:v>0.92627958910227792</c:v>
                </c:pt>
                <c:pt idx="5">
                  <c:v>0.98987941045109429</c:v>
                </c:pt>
                <c:pt idx="6">
                  <c:v>0.98987941045109429</c:v>
                </c:pt>
                <c:pt idx="7">
                  <c:v>0.99999207324698536</c:v>
                </c:pt>
              </c:numCache>
            </c:numRef>
          </c:val>
          <c:extLst xmlns:c16r2="http://schemas.microsoft.com/office/drawing/2015/06/chart">
            <c:ext xmlns:c16="http://schemas.microsoft.com/office/drawing/2014/chart" uri="{C3380CC4-5D6E-409C-BE32-E72D297353CC}">
              <c16:uniqueId val="{00000001-6B51-419C-83DC-AFAD5281A226}"/>
            </c:ext>
          </c:extLst>
        </c:ser>
        <c:dLbls>
          <c:showLegendKey val="0"/>
          <c:showVal val="0"/>
          <c:showCatName val="0"/>
          <c:showSerName val="0"/>
          <c:showPercent val="0"/>
          <c:showBubbleSize val="0"/>
        </c:dLbls>
        <c:gapWidth val="219"/>
        <c:overlap val="-27"/>
        <c:axId val="241865264"/>
        <c:axId val="184839288"/>
      </c:barChart>
      <c:catAx>
        <c:axId val="241865264"/>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Treatment Options</a:t>
                </a:r>
              </a:p>
            </c:rich>
          </c:tx>
          <c:layout>
            <c:manualLayout>
              <c:xMode val="edge"/>
              <c:yMode val="edge"/>
              <c:x val="0.4133709016702109"/>
              <c:y val="0.78608059741918068"/>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84839288"/>
        <c:crossesAt val="0"/>
        <c:auto val="1"/>
        <c:lblAlgn val="ctr"/>
        <c:lblOffset val="100"/>
        <c:noMultiLvlLbl val="0"/>
      </c:catAx>
      <c:valAx>
        <c:axId val="184839288"/>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GB"/>
                  <a:t>Total DAYLs averted</a:t>
                </a:r>
              </a:p>
            </c:rich>
          </c:tx>
          <c:layout>
            <c:manualLayout>
              <c:xMode val="edge"/>
              <c:yMode val="edge"/>
              <c:x val="3.0214711699719492E-2"/>
              <c:y val="0.15537361269644739"/>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41865264"/>
        <c:crosses val="autoZero"/>
        <c:crossBetween val="between"/>
        <c:majorUnit val="0.1"/>
        <c:minorUnit val="1.0000000000000011E-4"/>
      </c:valAx>
      <c:spPr>
        <a:noFill/>
        <a:ln>
          <a:noFill/>
        </a:ln>
        <a:effectLst/>
      </c:spPr>
    </c:plotArea>
    <c:legend>
      <c:legendPos val="b"/>
      <c:layout>
        <c:manualLayout>
          <c:xMode val="edge"/>
          <c:yMode val="edge"/>
          <c:x val="4.1062075721909147E-2"/>
          <c:y val="0.84331572804013766"/>
          <c:w val="0.920552008362851"/>
          <c:h val="9.771613573684004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8.4046780025783641E-2"/>
          <c:y val="9.682738276971424E-2"/>
          <c:w val="0.49215943263482592"/>
          <c:h val="0.38759291857411177"/>
        </c:manualLayout>
      </c:layout>
      <c:barChart>
        <c:barDir val="col"/>
        <c:grouping val="clustered"/>
        <c:varyColors val="0"/>
        <c:ser>
          <c:idx val="1"/>
          <c:order val="0"/>
          <c:tx>
            <c:strRef>
              <c:f>'water demand calculation'!$G$5:$G$6</c:f>
              <c:strCache>
                <c:ptCount val="2"/>
                <c:pt idx="0">
                  <c:v>Total irrgation with leaching</c:v>
                </c:pt>
                <c:pt idx="1">
                  <c:v>TR m3/ha</c:v>
                </c:pt>
              </c:strCache>
            </c:strRef>
          </c:tx>
          <c:invertIfNegative val="0"/>
          <c:cat>
            <c:strRef>
              <c:f>'water demand calculation'!$A$7:$A$26</c:f>
              <c:strCache>
                <c:ptCount val="20"/>
                <c:pt idx="0">
                  <c:v>wheat </c:v>
                </c:pt>
                <c:pt idx="1">
                  <c:v>barley</c:v>
                </c:pt>
                <c:pt idx="2">
                  <c:v>peas*</c:v>
                </c:pt>
                <c:pt idx="3">
                  <c:v>broad beans*</c:v>
                </c:pt>
                <c:pt idx="4">
                  <c:v>oat</c:v>
                </c:pt>
                <c:pt idx="5">
                  <c:v>potato</c:v>
                </c:pt>
                <c:pt idx="6">
                  <c:v>onion</c:v>
                </c:pt>
                <c:pt idx="7">
                  <c:v>lettuce and Green-Leaf Crops</c:v>
                </c:pt>
                <c:pt idx="8">
                  <c:v>carrot </c:v>
                </c:pt>
                <c:pt idx="9">
                  <c:v>Radish </c:v>
                </c:pt>
                <c:pt idx="10">
                  <c:v>Millets</c:v>
                </c:pt>
                <c:pt idx="11">
                  <c:v>tomato</c:v>
                </c:pt>
                <c:pt idx="12">
                  <c:v>water melon</c:v>
                </c:pt>
                <c:pt idx="13">
                  <c:v>cucumber</c:v>
                </c:pt>
                <c:pt idx="14">
                  <c:v>eggplant</c:v>
                </c:pt>
                <c:pt idx="15">
                  <c:v>pepper</c:v>
                </c:pt>
                <c:pt idx="16">
                  <c:v>cauliflower</c:v>
                </c:pt>
                <c:pt idx="17">
                  <c:v>olive tree</c:v>
                </c:pt>
                <c:pt idx="18">
                  <c:v>palm tree</c:v>
                </c:pt>
                <c:pt idx="19">
                  <c:v>alfalfa*</c:v>
                </c:pt>
              </c:strCache>
            </c:strRef>
          </c:cat>
          <c:val>
            <c:numRef>
              <c:f>'water demand calculation'!$G$7:$G$26</c:f>
              <c:numCache>
                <c:formatCode>#,##0.00</c:formatCode>
                <c:ptCount val="20"/>
                <c:pt idx="0">
                  <c:v>0</c:v>
                </c:pt>
                <c:pt idx="1">
                  <c:v>0</c:v>
                </c:pt>
                <c:pt idx="2">
                  <c:v>0</c:v>
                </c:pt>
                <c:pt idx="3">
                  <c:v>0</c:v>
                </c:pt>
                <c:pt idx="4">
                  <c:v>0</c:v>
                </c:pt>
                <c:pt idx="5">
                  <c:v>0</c:v>
                </c:pt>
                <c:pt idx="6">
                  <c:v>0</c:v>
                </c:pt>
                <c:pt idx="7">
                  <c:v>4371.4285714285716</c:v>
                </c:pt>
                <c:pt idx="8">
                  <c:v>5695.0819672131147</c:v>
                </c:pt>
                <c:pt idx="9">
                  <c:v>1748.4702093397743</c:v>
                </c:pt>
                <c:pt idx="10">
                  <c:v>7752.727272727273</c:v>
                </c:pt>
                <c:pt idx="11">
                  <c:v>7603.030303030303</c:v>
                </c:pt>
                <c:pt idx="12">
                  <c:v>0</c:v>
                </c:pt>
                <c:pt idx="13">
                  <c:v>5430.5555555555547</c:v>
                </c:pt>
                <c:pt idx="14">
                  <c:v>10065.432098765432</c:v>
                </c:pt>
                <c:pt idx="15">
                  <c:v>11133.670033670032</c:v>
                </c:pt>
                <c:pt idx="16">
                  <c:v>5944.4444444444443</c:v>
                </c:pt>
                <c:pt idx="17">
                  <c:v>0</c:v>
                </c:pt>
                <c:pt idx="18">
                  <c:v>0</c:v>
                </c:pt>
                <c:pt idx="19">
                  <c:v>0</c:v>
                </c:pt>
              </c:numCache>
            </c:numRef>
          </c:val>
          <c:extLst xmlns:c16r2="http://schemas.microsoft.com/office/drawing/2015/06/chart">
            <c:ext xmlns:c16="http://schemas.microsoft.com/office/drawing/2014/chart" uri="{C3380CC4-5D6E-409C-BE32-E72D297353CC}">
              <c16:uniqueId val="{00000000-A3A8-45E8-8F41-7C844F578E37}"/>
            </c:ext>
          </c:extLst>
        </c:ser>
        <c:dLbls>
          <c:showLegendKey val="0"/>
          <c:showVal val="0"/>
          <c:showCatName val="0"/>
          <c:showSerName val="0"/>
          <c:showPercent val="0"/>
          <c:showBubbleSize val="0"/>
        </c:dLbls>
        <c:gapWidth val="150"/>
        <c:axId val="242134568"/>
        <c:axId val="184308688"/>
      </c:barChart>
      <c:catAx>
        <c:axId val="242134568"/>
        <c:scaling>
          <c:orientation val="minMax"/>
        </c:scaling>
        <c:delete val="0"/>
        <c:axPos val="b"/>
        <c:numFmt formatCode="General" sourceLinked="1"/>
        <c:majorTickMark val="out"/>
        <c:minorTickMark val="none"/>
        <c:tickLblPos val="nextTo"/>
        <c:txPr>
          <a:bodyPr/>
          <a:lstStyle/>
          <a:p>
            <a:pPr>
              <a:defRPr sz="1000"/>
            </a:pPr>
            <a:endParaRPr lang="en-US"/>
          </a:p>
        </c:txPr>
        <c:crossAx val="184308688"/>
        <c:crosses val="autoZero"/>
        <c:auto val="1"/>
        <c:lblAlgn val="ctr"/>
        <c:lblOffset val="200"/>
        <c:noMultiLvlLbl val="0"/>
      </c:catAx>
      <c:valAx>
        <c:axId val="184308688"/>
        <c:scaling>
          <c:orientation val="minMax"/>
        </c:scaling>
        <c:delete val="0"/>
        <c:axPos val="l"/>
        <c:majorGridlines/>
        <c:numFmt formatCode="#,##0.00" sourceLinked="1"/>
        <c:majorTickMark val="out"/>
        <c:minorTickMark val="none"/>
        <c:tickLblPos val="nextTo"/>
        <c:crossAx val="24213456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37752856650481"/>
          <c:y val="4.0293040293040303E-2"/>
          <c:w val="0.78095576933852562"/>
          <c:h val="0.57288888029045504"/>
        </c:manualLayout>
      </c:layout>
      <c:barChart>
        <c:barDir val="col"/>
        <c:grouping val="clustered"/>
        <c:varyColors val="0"/>
        <c:ser>
          <c:idx val="0"/>
          <c:order val="0"/>
          <c:tx>
            <c:strRef>
              <c:f>'Health impact calculation'!$D$4</c:f>
              <c:strCache>
                <c:ptCount val="1"/>
                <c:pt idx="0">
                  <c:v>treatment + drip irrigation </c:v>
                </c:pt>
              </c:strCache>
            </c:strRef>
          </c:tx>
          <c:spPr>
            <a:solidFill>
              <a:schemeClr val="bg2">
                <a:lumMod val="25000"/>
              </a:schemeClr>
            </a:solidFill>
            <a:ln>
              <a:noFill/>
            </a:ln>
            <a:effectLst/>
          </c:spPr>
          <c:invertIfNegative val="0"/>
          <c:cat>
            <c:strRef>
              <c:f>'Health impact calculation'!$C$5:$J$5</c:f>
              <c:strCache>
                <c:ptCount val="8"/>
                <c:pt idx="0">
                  <c:v>conventional activated sludge </c:v>
                </c:pt>
                <c:pt idx="1">
                  <c:v>on site( Three-tank system )</c:v>
                </c:pt>
                <c:pt idx="2">
                  <c:v>on site(Three-tank system +sand Filter)</c:v>
                </c:pt>
                <c:pt idx="3">
                  <c:v>septic tank+   (WSP)</c:v>
                </c:pt>
                <c:pt idx="4">
                  <c:v>treatment plant  (WSP)</c:v>
                </c:pt>
                <c:pt idx="5">
                  <c:v>treatment plant (Conventional activated sludge+ disinfection)</c:v>
                </c:pt>
                <c:pt idx="6">
                  <c:v>Activated sludge+ Biological Nitrogen Removal (MLE)+ disinfection</c:v>
                </c:pt>
                <c:pt idx="7">
                  <c:v>Activated sludge+ Ultrfiltration+ reverse osmosis</c:v>
                </c:pt>
              </c:strCache>
            </c:strRef>
          </c:cat>
          <c:val>
            <c:numRef>
              <c:f>'Health impact calculation'!$C$21:$J$21</c:f>
              <c:numCache>
                <c:formatCode>0.00%</c:formatCode>
                <c:ptCount val="8"/>
                <c:pt idx="0">
                  <c:v>0.89377358490566039</c:v>
                </c:pt>
                <c:pt idx="1">
                  <c:v>0.89377358490566039</c:v>
                </c:pt>
                <c:pt idx="2">
                  <c:v>0.99868235849056608</c:v>
                </c:pt>
                <c:pt idx="3">
                  <c:v>0.98506603773584911</c:v>
                </c:pt>
                <c:pt idx="4">
                  <c:v>0.98506603773584911</c:v>
                </c:pt>
                <c:pt idx="5">
                  <c:v>0.99674905660377366</c:v>
                </c:pt>
                <c:pt idx="6">
                  <c:v>0.99674905660377366</c:v>
                </c:pt>
                <c:pt idx="7">
                  <c:v>0.99997917358490562</c:v>
                </c:pt>
              </c:numCache>
            </c:numRef>
          </c:val>
          <c:extLst xmlns:c16r2="http://schemas.microsoft.com/office/drawing/2015/06/chart">
            <c:ext xmlns:c16="http://schemas.microsoft.com/office/drawing/2014/chart" uri="{C3380CC4-5D6E-409C-BE32-E72D297353CC}">
              <c16:uniqueId val="{00000000-D061-4D25-AA96-32341CA2D867}"/>
            </c:ext>
          </c:extLst>
        </c:ser>
        <c:ser>
          <c:idx val="1"/>
          <c:order val="1"/>
          <c:tx>
            <c:strRef>
              <c:f>'Health impact calculation'!$N$4</c:f>
              <c:strCache>
                <c:ptCount val="1"/>
                <c:pt idx="0">
                  <c:v>treatment +crop restriction </c:v>
                </c:pt>
              </c:strCache>
            </c:strRef>
          </c:tx>
          <c:spPr>
            <a:solidFill>
              <a:srgbClr val="FFC000"/>
            </a:solidFill>
            <a:ln>
              <a:noFill/>
            </a:ln>
            <a:effectLst/>
          </c:spPr>
          <c:invertIfNegative val="0"/>
          <c:cat>
            <c:strRef>
              <c:f>'Health impact calculation'!$C$5:$J$5</c:f>
              <c:strCache>
                <c:ptCount val="8"/>
                <c:pt idx="0">
                  <c:v>conventional activated sludge </c:v>
                </c:pt>
                <c:pt idx="1">
                  <c:v>on site( Three-tank system )</c:v>
                </c:pt>
                <c:pt idx="2">
                  <c:v>on site(Three-tank system +sand Filter)</c:v>
                </c:pt>
                <c:pt idx="3">
                  <c:v>septic tank+   (WSP)</c:v>
                </c:pt>
                <c:pt idx="4">
                  <c:v>treatment plant  (WSP)</c:v>
                </c:pt>
                <c:pt idx="5">
                  <c:v>treatment plant (Conventional activated sludge+ disinfection)</c:v>
                </c:pt>
                <c:pt idx="6">
                  <c:v>Activated sludge+ Biological Nitrogen Removal (MLE)+ disinfection</c:v>
                </c:pt>
                <c:pt idx="7">
                  <c:v>Activated sludge+ Ultrfiltration+ reverse osmosis</c:v>
                </c:pt>
              </c:strCache>
            </c:strRef>
          </c:cat>
          <c:val>
            <c:numRef>
              <c:f>'Health impact calculation'!$N$21:$U$21</c:f>
              <c:numCache>
                <c:formatCode>0.000%</c:formatCode>
                <c:ptCount val="8"/>
                <c:pt idx="0">
                  <c:v>0.57047789191603382</c:v>
                </c:pt>
                <c:pt idx="1">
                  <c:v>0.57047789191603382</c:v>
                </c:pt>
                <c:pt idx="2">
                  <c:v>0.99255649843680205</c:v>
                </c:pt>
                <c:pt idx="3">
                  <c:v>0.92627958910227792</c:v>
                </c:pt>
                <c:pt idx="4">
                  <c:v>0.92627958910227792</c:v>
                </c:pt>
                <c:pt idx="5">
                  <c:v>0.98987941045109429</c:v>
                </c:pt>
                <c:pt idx="6">
                  <c:v>0.98987941045109429</c:v>
                </c:pt>
                <c:pt idx="7">
                  <c:v>0.99999207324698536</c:v>
                </c:pt>
              </c:numCache>
            </c:numRef>
          </c:val>
          <c:extLst xmlns:c16r2="http://schemas.microsoft.com/office/drawing/2015/06/chart">
            <c:ext xmlns:c16="http://schemas.microsoft.com/office/drawing/2014/chart" uri="{C3380CC4-5D6E-409C-BE32-E72D297353CC}">
              <c16:uniqueId val="{00000001-D061-4D25-AA96-32341CA2D867}"/>
            </c:ext>
          </c:extLst>
        </c:ser>
        <c:dLbls>
          <c:showLegendKey val="0"/>
          <c:showVal val="0"/>
          <c:showCatName val="0"/>
          <c:showSerName val="0"/>
          <c:showPercent val="0"/>
          <c:showBubbleSize val="0"/>
        </c:dLbls>
        <c:gapWidth val="219"/>
        <c:overlap val="-27"/>
        <c:axId val="184309472"/>
        <c:axId val="184309864"/>
      </c:barChart>
      <c:catAx>
        <c:axId val="184309472"/>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Treatment Options</a:t>
                </a:r>
              </a:p>
            </c:rich>
          </c:tx>
          <c:layout>
            <c:manualLayout>
              <c:xMode val="edge"/>
              <c:yMode val="edge"/>
              <c:x val="0.4133709016702109"/>
              <c:y val="0.78608059741918068"/>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84309864"/>
        <c:crossesAt val="0"/>
        <c:auto val="1"/>
        <c:lblAlgn val="ctr"/>
        <c:lblOffset val="100"/>
        <c:noMultiLvlLbl val="0"/>
      </c:catAx>
      <c:valAx>
        <c:axId val="18430986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GB"/>
                  <a:t>Total DAYLs averted</a:t>
                </a:r>
              </a:p>
            </c:rich>
          </c:tx>
          <c:layout>
            <c:manualLayout>
              <c:xMode val="edge"/>
              <c:yMode val="edge"/>
              <c:x val="3.0214711699719492E-2"/>
              <c:y val="0.15537361269644739"/>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84309472"/>
        <c:crosses val="autoZero"/>
        <c:crossBetween val="between"/>
        <c:majorUnit val="0.1"/>
        <c:minorUnit val="1.0000000000000011E-4"/>
      </c:valAx>
      <c:spPr>
        <a:noFill/>
        <a:ln>
          <a:noFill/>
        </a:ln>
        <a:effectLst/>
      </c:spPr>
    </c:plotArea>
    <c:legend>
      <c:legendPos val="b"/>
      <c:layout>
        <c:manualLayout>
          <c:xMode val="edge"/>
          <c:yMode val="edge"/>
          <c:x val="4.1062075721909147E-2"/>
          <c:y val="0.84331572804013766"/>
          <c:w val="0.920552008362851"/>
          <c:h val="9.771613573684004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a:t>
            </a:r>
            <a:r>
              <a:rPr lang="en-GB" baseline="0"/>
              <a:t> supply  Kg/ha</a:t>
            </a:r>
            <a:endParaRPr lang="en-GB"/>
          </a:p>
        </c:rich>
      </c:tx>
      <c:overlay val="1"/>
    </c:title>
    <c:autoTitleDeleted val="0"/>
    <c:plotArea>
      <c:layout/>
      <c:barChart>
        <c:barDir val="col"/>
        <c:grouping val="clustered"/>
        <c:varyColors val="0"/>
        <c:ser>
          <c:idx val="0"/>
          <c:order val="0"/>
          <c:tx>
            <c:strRef>
              <c:f>'fertiliser demand calculation'!$B$10</c:f>
              <c:strCache>
                <c:ptCount val="1"/>
                <c:pt idx="0">
                  <c:v>Total demandN kg/ha</c:v>
                </c:pt>
              </c:strCache>
            </c:strRef>
          </c:tx>
          <c:invertIfNegative val="0"/>
          <c:cat>
            <c:strRef>
              <c:f>'fertiliser demand calculation'!$A$11:$A$30</c:f>
              <c:strCache>
                <c:ptCount val="20"/>
                <c:pt idx="0">
                  <c:v>wheat </c:v>
                </c:pt>
                <c:pt idx="1">
                  <c:v>barley</c:v>
                </c:pt>
                <c:pt idx="2">
                  <c:v>peas*</c:v>
                </c:pt>
                <c:pt idx="3">
                  <c:v>broad beans*</c:v>
                </c:pt>
                <c:pt idx="4">
                  <c:v>oat</c:v>
                </c:pt>
                <c:pt idx="5">
                  <c:v>potato</c:v>
                </c:pt>
                <c:pt idx="6">
                  <c:v>onion</c:v>
                </c:pt>
                <c:pt idx="7">
                  <c:v>lettuce and Green-Leaf Crops</c:v>
                </c:pt>
                <c:pt idx="8">
                  <c:v>carrot </c:v>
                </c:pt>
                <c:pt idx="9">
                  <c:v>Radish </c:v>
                </c:pt>
                <c:pt idx="10">
                  <c:v>Millets</c:v>
                </c:pt>
                <c:pt idx="11">
                  <c:v>tomato</c:v>
                </c:pt>
                <c:pt idx="12">
                  <c:v>water melon</c:v>
                </c:pt>
                <c:pt idx="13">
                  <c:v>cucumber</c:v>
                </c:pt>
                <c:pt idx="14">
                  <c:v>eggplant</c:v>
                </c:pt>
                <c:pt idx="15">
                  <c:v>pepper</c:v>
                </c:pt>
                <c:pt idx="16">
                  <c:v>cauliflower</c:v>
                </c:pt>
                <c:pt idx="17">
                  <c:v>olive tree</c:v>
                </c:pt>
                <c:pt idx="18">
                  <c:v>palm tree</c:v>
                </c:pt>
                <c:pt idx="19">
                  <c:v>alfalfa*</c:v>
                </c:pt>
              </c:strCache>
            </c:strRef>
          </c:cat>
          <c:val>
            <c:numRef>
              <c:f>'fertiliser demand calculation'!$B$11:$B$30</c:f>
              <c:numCache>
                <c:formatCode>0.0</c:formatCode>
                <c:ptCount val="20"/>
                <c:pt idx="0">
                  <c:v>0</c:v>
                </c:pt>
                <c:pt idx="1">
                  <c:v>0</c:v>
                </c:pt>
                <c:pt idx="2">
                  <c:v>0</c:v>
                </c:pt>
                <c:pt idx="3">
                  <c:v>0</c:v>
                </c:pt>
                <c:pt idx="4">
                  <c:v>0</c:v>
                </c:pt>
                <c:pt idx="5">
                  <c:v>0</c:v>
                </c:pt>
                <c:pt idx="6">
                  <c:v>0</c:v>
                </c:pt>
                <c:pt idx="7">
                  <c:v>114</c:v>
                </c:pt>
                <c:pt idx="8">
                  <c:v>72.5</c:v>
                </c:pt>
                <c:pt idx="9">
                  <c:v>290</c:v>
                </c:pt>
                <c:pt idx="10">
                  <c:v>42.84</c:v>
                </c:pt>
                <c:pt idx="11">
                  <c:v>162</c:v>
                </c:pt>
                <c:pt idx="12">
                  <c:v>0</c:v>
                </c:pt>
                <c:pt idx="13">
                  <c:v>26</c:v>
                </c:pt>
                <c:pt idx="14">
                  <c:v>72.8</c:v>
                </c:pt>
                <c:pt idx="15">
                  <c:v>36.299999999999997</c:v>
                </c:pt>
                <c:pt idx="16">
                  <c:v>53</c:v>
                </c:pt>
                <c:pt idx="17">
                  <c:v>0</c:v>
                </c:pt>
                <c:pt idx="18">
                  <c:v>0</c:v>
                </c:pt>
                <c:pt idx="19">
                  <c:v>0</c:v>
                </c:pt>
              </c:numCache>
            </c:numRef>
          </c:val>
          <c:extLst xmlns:c16r2="http://schemas.microsoft.com/office/drawing/2015/06/chart">
            <c:ext xmlns:c16="http://schemas.microsoft.com/office/drawing/2014/chart" uri="{C3380CC4-5D6E-409C-BE32-E72D297353CC}">
              <c16:uniqueId val="{00000000-A110-4A66-8D96-65F72CFB1CFB}"/>
            </c:ext>
          </c:extLst>
        </c:ser>
        <c:ser>
          <c:idx val="1"/>
          <c:order val="1"/>
          <c:tx>
            <c:strRef>
              <c:f>'fertiliser demand calculation'!$E$10</c:f>
              <c:strCache>
                <c:ptCount val="1"/>
                <c:pt idx="0">
                  <c:v>N-  from irrigation water kg/ha</c:v>
                </c:pt>
              </c:strCache>
            </c:strRef>
          </c:tx>
          <c:invertIfNegative val="0"/>
          <c:cat>
            <c:strRef>
              <c:f>'fertiliser demand calculation'!$A$11:$A$30</c:f>
              <c:strCache>
                <c:ptCount val="20"/>
                <c:pt idx="0">
                  <c:v>wheat </c:v>
                </c:pt>
                <c:pt idx="1">
                  <c:v>barley</c:v>
                </c:pt>
                <c:pt idx="2">
                  <c:v>peas*</c:v>
                </c:pt>
                <c:pt idx="3">
                  <c:v>broad beans*</c:v>
                </c:pt>
                <c:pt idx="4">
                  <c:v>oat</c:v>
                </c:pt>
                <c:pt idx="5">
                  <c:v>potato</c:v>
                </c:pt>
                <c:pt idx="6">
                  <c:v>onion</c:v>
                </c:pt>
                <c:pt idx="7">
                  <c:v>lettuce and Green-Leaf Crops</c:v>
                </c:pt>
                <c:pt idx="8">
                  <c:v>carrot </c:v>
                </c:pt>
                <c:pt idx="9">
                  <c:v>Radish </c:v>
                </c:pt>
                <c:pt idx="10">
                  <c:v>Millets</c:v>
                </c:pt>
                <c:pt idx="11">
                  <c:v>tomato</c:v>
                </c:pt>
                <c:pt idx="12">
                  <c:v>water melon</c:v>
                </c:pt>
                <c:pt idx="13">
                  <c:v>cucumber</c:v>
                </c:pt>
                <c:pt idx="14">
                  <c:v>eggplant</c:v>
                </c:pt>
                <c:pt idx="15">
                  <c:v>pepper</c:v>
                </c:pt>
                <c:pt idx="16">
                  <c:v>cauliflower</c:v>
                </c:pt>
                <c:pt idx="17">
                  <c:v>olive tree</c:v>
                </c:pt>
                <c:pt idx="18">
                  <c:v>palm tree</c:v>
                </c:pt>
                <c:pt idx="19">
                  <c:v>alfalfa*</c:v>
                </c:pt>
              </c:strCache>
            </c:strRef>
          </c:cat>
          <c:val>
            <c:numRef>
              <c:f>'fertiliser demand calculation'!$E$11:$E$30</c:f>
              <c:numCache>
                <c:formatCode>0.00</c:formatCode>
                <c:ptCount val="20"/>
                <c:pt idx="0">
                  <c:v>0</c:v>
                </c:pt>
                <c:pt idx="1">
                  <c:v>0</c:v>
                </c:pt>
                <c:pt idx="2">
                  <c:v>0</c:v>
                </c:pt>
                <c:pt idx="3">
                  <c:v>0</c:v>
                </c:pt>
                <c:pt idx="4">
                  <c:v>0</c:v>
                </c:pt>
                <c:pt idx="5">
                  <c:v>0</c:v>
                </c:pt>
                <c:pt idx="6">
                  <c:v>0</c:v>
                </c:pt>
                <c:pt idx="7">
                  <c:v>45.9</c:v>
                </c:pt>
                <c:pt idx="8">
                  <c:v>59.798360655737703</c:v>
                </c:pt>
                <c:pt idx="9">
                  <c:v>18.358937198067629</c:v>
                </c:pt>
                <c:pt idx="10">
                  <c:v>81.403636363636366</c:v>
                </c:pt>
                <c:pt idx="11">
                  <c:v>79.831818181818178</c:v>
                </c:pt>
                <c:pt idx="12">
                  <c:v>0</c:v>
                </c:pt>
                <c:pt idx="13">
                  <c:v>57.020833333333329</c:v>
                </c:pt>
                <c:pt idx="14">
                  <c:v>105.68703703703703</c:v>
                </c:pt>
                <c:pt idx="15">
                  <c:v>116.90353535353533</c:v>
                </c:pt>
                <c:pt idx="16">
                  <c:v>62.416666666666664</c:v>
                </c:pt>
                <c:pt idx="17">
                  <c:v>0</c:v>
                </c:pt>
                <c:pt idx="18">
                  <c:v>0</c:v>
                </c:pt>
                <c:pt idx="19">
                  <c:v>0</c:v>
                </c:pt>
              </c:numCache>
            </c:numRef>
          </c:val>
          <c:extLst xmlns:c16r2="http://schemas.microsoft.com/office/drawing/2015/06/chart">
            <c:ext xmlns:c16="http://schemas.microsoft.com/office/drawing/2014/chart" uri="{C3380CC4-5D6E-409C-BE32-E72D297353CC}">
              <c16:uniqueId val="{00000001-A110-4A66-8D96-65F72CFB1CFB}"/>
            </c:ext>
          </c:extLst>
        </c:ser>
        <c:ser>
          <c:idx val="2"/>
          <c:order val="2"/>
          <c:tx>
            <c:strRef>
              <c:f>'fertiliser demand calculation'!$K$10</c:f>
              <c:strCache>
                <c:ptCount val="1"/>
                <c:pt idx="0">
                  <c:v>excessive N kg/ha</c:v>
                </c:pt>
              </c:strCache>
            </c:strRef>
          </c:tx>
          <c:invertIfNegative val="0"/>
          <c:cat>
            <c:strRef>
              <c:f>'fertiliser demand calculation'!$A$11:$A$30</c:f>
              <c:strCache>
                <c:ptCount val="20"/>
                <c:pt idx="0">
                  <c:v>wheat </c:v>
                </c:pt>
                <c:pt idx="1">
                  <c:v>barley</c:v>
                </c:pt>
                <c:pt idx="2">
                  <c:v>peas*</c:v>
                </c:pt>
                <c:pt idx="3">
                  <c:v>broad beans*</c:v>
                </c:pt>
                <c:pt idx="4">
                  <c:v>oat</c:v>
                </c:pt>
                <c:pt idx="5">
                  <c:v>potato</c:v>
                </c:pt>
                <c:pt idx="6">
                  <c:v>onion</c:v>
                </c:pt>
                <c:pt idx="7">
                  <c:v>lettuce and Green-Leaf Crops</c:v>
                </c:pt>
                <c:pt idx="8">
                  <c:v>carrot </c:v>
                </c:pt>
                <c:pt idx="9">
                  <c:v>Radish </c:v>
                </c:pt>
                <c:pt idx="10">
                  <c:v>Millets</c:v>
                </c:pt>
                <c:pt idx="11">
                  <c:v>tomato</c:v>
                </c:pt>
                <c:pt idx="12">
                  <c:v>water melon</c:v>
                </c:pt>
                <c:pt idx="13">
                  <c:v>cucumber</c:v>
                </c:pt>
                <c:pt idx="14">
                  <c:v>eggplant</c:v>
                </c:pt>
                <c:pt idx="15">
                  <c:v>pepper</c:v>
                </c:pt>
                <c:pt idx="16">
                  <c:v>cauliflower</c:v>
                </c:pt>
                <c:pt idx="17">
                  <c:v>olive tree</c:v>
                </c:pt>
                <c:pt idx="18">
                  <c:v>palm tree</c:v>
                </c:pt>
                <c:pt idx="19">
                  <c:v>alfalfa*</c:v>
                </c:pt>
              </c:strCache>
            </c:strRef>
          </c:cat>
          <c:val>
            <c:numRef>
              <c:f>'fertiliser demand calculation'!$K$11:$K$30</c:f>
              <c:numCache>
                <c:formatCode>General</c:formatCode>
                <c:ptCount val="20"/>
                <c:pt idx="0">
                  <c:v>0</c:v>
                </c:pt>
                <c:pt idx="1">
                  <c:v>0</c:v>
                </c:pt>
                <c:pt idx="2">
                  <c:v>0</c:v>
                </c:pt>
                <c:pt idx="3">
                  <c:v>0</c:v>
                </c:pt>
                <c:pt idx="4">
                  <c:v>0</c:v>
                </c:pt>
                <c:pt idx="5">
                  <c:v>0</c:v>
                </c:pt>
                <c:pt idx="6">
                  <c:v>0</c:v>
                </c:pt>
                <c:pt idx="7">
                  <c:v>0</c:v>
                </c:pt>
                <c:pt idx="8">
                  <c:v>0</c:v>
                </c:pt>
                <c:pt idx="9">
                  <c:v>0</c:v>
                </c:pt>
                <c:pt idx="10">
                  <c:v>-38.563636363636363</c:v>
                </c:pt>
                <c:pt idx="11">
                  <c:v>0</c:v>
                </c:pt>
                <c:pt idx="12">
                  <c:v>0</c:v>
                </c:pt>
                <c:pt idx="13">
                  <c:v>-31.020833333333329</c:v>
                </c:pt>
                <c:pt idx="14">
                  <c:v>-32.887037037037032</c:v>
                </c:pt>
                <c:pt idx="15">
                  <c:v>-80.603535353535335</c:v>
                </c:pt>
                <c:pt idx="16">
                  <c:v>-9.4166666666666643</c:v>
                </c:pt>
                <c:pt idx="17">
                  <c:v>0</c:v>
                </c:pt>
                <c:pt idx="18">
                  <c:v>0</c:v>
                </c:pt>
                <c:pt idx="19">
                  <c:v>0</c:v>
                </c:pt>
              </c:numCache>
            </c:numRef>
          </c:val>
          <c:extLst xmlns:c16r2="http://schemas.microsoft.com/office/drawing/2015/06/chart">
            <c:ext xmlns:c16="http://schemas.microsoft.com/office/drawing/2014/chart" uri="{C3380CC4-5D6E-409C-BE32-E72D297353CC}">
              <c16:uniqueId val="{00000002-A110-4A66-8D96-65F72CFB1CFB}"/>
            </c:ext>
          </c:extLst>
        </c:ser>
        <c:dLbls>
          <c:showLegendKey val="0"/>
          <c:showVal val="0"/>
          <c:showCatName val="0"/>
          <c:showSerName val="0"/>
          <c:showPercent val="0"/>
          <c:showBubbleSize val="0"/>
        </c:dLbls>
        <c:gapWidth val="150"/>
        <c:axId val="184310648"/>
        <c:axId val="242771152"/>
      </c:barChart>
      <c:catAx>
        <c:axId val="184310648"/>
        <c:scaling>
          <c:orientation val="minMax"/>
        </c:scaling>
        <c:delete val="0"/>
        <c:axPos val="b"/>
        <c:numFmt formatCode="General" sourceLinked="1"/>
        <c:majorTickMark val="out"/>
        <c:minorTickMark val="none"/>
        <c:tickLblPos val="nextTo"/>
        <c:crossAx val="242771152"/>
        <c:crosses val="autoZero"/>
        <c:auto val="1"/>
        <c:lblAlgn val="ctr"/>
        <c:lblOffset val="100"/>
        <c:noMultiLvlLbl val="0"/>
      </c:catAx>
      <c:valAx>
        <c:axId val="242771152"/>
        <c:scaling>
          <c:orientation val="minMax"/>
        </c:scaling>
        <c:delete val="0"/>
        <c:axPos val="l"/>
        <c:majorGridlines/>
        <c:title>
          <c:tx>
            <c:rich>
              <a:bodyPr rot="-5400000" vert="horz"/>
              <a:lstStyle/>
              <a:p>
                <a:pPr>
                  <a:defRPr/>
                </a:pPr>
                <a:r>
                  <a:rPr lang="en-GB"/>
                  <a:t>kg/ha</a:t>
                </a:r>
              </a:p>
            </c:rich>
          </c:tx>
          <c:overlay val="0"/>
        </c:title>
        <c:numFmt formatCode="0.0" sourceLinked="1"/>
        <c:majorTickMark val="out"/>
        <c:minorTickMark val="none"/>
        <c:tickLblPos val="nextTo"/>
        <c:crossAx val="18431064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P supply</a:t>
            </a:r>
            <a:r>
              <a:rPr lang="en-GB" baseline="0"/>
              <a:t> </a:t>
            </a:r>
            <a:endParaRPr lang="en-GB"/>
          </a:p>
        </c:rich>
      </c:tx>
      <c:overlay val="1"/>
    </c:title>
    <c:autoTitleDeleted val="0"/>
    <c:plotArea>
      <c:layout>
        <c:manualLayout>
          <c:layoutTarget val="inner"/>
          <c:xMode val="edge"/>
          <c:yMode val="edge"/>
          <c:x val="0.14927816607193778"/>
          <c:y val="4.2295313085864268E-2"/>
          <c:w val="0.51957297472647357"/>
          <c:h val="0.57479655043119682"/>
        </c:manualLayout>
      </c:layout>
      <c:barChart>
        <c:barDir val="col"/>
        <c:grouping val="clustered"/>
        <c:varyColors val="0"/>
        <c:ser>
          <c:idx val="2"/>
          <c:order val="0"/>
          <c:tx>
            <c:strRef>
              <c:f>'fertiliser demand calculation'!$F$10</c:f>
              <c:strCache>
                <c:ptCount val="1"/>
                <c:pt idx="0">
                  <c:v>P-PO4 from irrigation water kg/ha</c:v>
                </c:pt>
              </c:strCache>
            </c:strRef>
          </c:tx>
          <c:invertIfNegative val="0"/>
          <c:cat>
            <c:strRef>
              <c:f>'fertiliser demand calculation'!$A$11:$A$30</c:f>
              <c:strCache>
                <c:ptCount val="20"/>
                <c:pt idx="0">
                  <c:v>wheat </c:v>
                </c:pt>
                <c:pt idx="1">
                  <c:v>barley</c:v>
                </c:pt>
                <c:pt idx="2">
                  <c:v>peas*</c:v>
                </c:pt>
                <c:pt idx="3">
                  <c:v>broad beans*</c:v>
                </c:pt>
                <c:pt idx="4">
                  <c:v>oat</c:v>
                </c:pt>
                <c:pt idx="5">
                  <c:v>potato</c:v>
                </c:pt>
                <c:pt idx="6">
                  <c:v>onion</c:v>
                </c:pt>
                <c:pt idx="7">
                  <c:v>lettuce and Green-Leaf Crops</c:v>
                </c:pt>
                <c:pt idx="8">
                  <c:v>carrot </c:v>
                </c:pt>
                <c:pt idx="9">
                  <c:v>Radish </c:v>
                </c:pt>
                <c:pt idx="10">
                  <c:v>Millets</c:v>
                </c:pt>
                <c:pt idx="11">
                  <c:v>tomato</c:v>
                </c:pt>
                <c:pt idx="12">
                  <c:v>water melon</c:v>
                </c:pt>
                <c:pt idx="13">
                  <c:v>cucumber</c:v>
                </c:pt>
                <c:pt idx="14">
                  <c:v>eggplant</c:v>
                </c:pt>
                <c:pt idx="15">
                  <c:v>pepper</c:v>
                </c:pt>
                <c:pt idx="16">
                  <c:v>cauliflower</c:v>
                </c:pt>
                <c:pt idx="17">
                  <c:v>olive tree</c:v>
                </c:pt>
                <c:pt idx="18">
                  <c:v>palm tree</c:v>
                </c:pt>
                <c:pt idx="19">
                  <c:v>alfalfa*</c:v>
                </c:pt>
              </c:strCache>
            </c:strRef>
          </c:cat>
          <c:val>
            <c:numRef>
              <c:f>'fertiliser demand calculation'!$F$11:$F$30</c:f>
              <c:numCache>
                <c:formatCode>0.00</c:formatCode>
                <c:ptCount val="20"/>
                <c:pt idx="0">
                  <c:v>0</c:v>
                </c:pt>
                <c:pt idx="1">
                  <c:v>0</c:v>
                </c:pt>
                <c:pt idx="2">
                  <c:v>0</c:v>
                </c:pt>
                <c:pt idx="3">
                  <c:v>0</c:v>
                </c:pt>
                <c:pt idx="4">
                  <c:v>0</c:v>
                </c:pt>
                <c:pt idx="5">
                  <c:v>0</c:v>
                </c:pt>
                <c:pt idx="6">
                  <c:v>0</c:v>
                </c:pt>
                <c:pt idx="7">
                  <c:v>28.414285714285715</c:v>
                </c:pt>
                <c:pt idx="8">
                  <c:v>37.01803278688525</c:v>
                </c:pt>
                <c:pt idx="9">
                  <c:v>11.365056360708532</c:v>
                </c:pt>
                <c:pt idx="10">
                  <c:v>50.392727272727271</c:v>
                </c:pt>
                <c:pt idx="11">
                  <c:v>49.419696969696972</c:v>
                </c:pt>
                <c:pt idx="12">
                  <c:v>0</c:v>
                </c:pt>
                <c:pt idx="13">
                  <c:v>35.298611111111107</c:v>
                </c:pt>
                <c:pt idx="14">
                  <c:v>65.425308641975306</c:v>
                </c:pt>
                <c:pt idx="15">
                  <c:v>72.368855218855217</c:v>
                </c:pt>
                <c:pt idx="16">
                  <c:v>38.638888888888893</c:v>
                </c:pt>
                <c:pt idx="17">
                  <c:v>0</c:v>
                </c:pt>
                <c:pt idx="18">
                  <c:v>0</c:v>
                </c:pt>
                <c:pt idx="19">
                  <c:v>0</c:v>
                </c:pt>
              </c:numCache>
            </c:numRef>
          </c:val>
          <c:extLst xmlns:c16r2="http://schemas.microsoft.com/office/drawing/2015/06/chart">
            <c:ext xmlns:c16="http://schemas.microsoft.com/office/drawing/2014/chart" uri="{C3380CC4-5D6E-409C-BE32-E72D297353CC}">
              <c16:uniqueId val="{00000000-DB6E-4F0C-9943-C719750B3468}"/>
            </c:ext>
          </c:extLst>
        </c:ser>
        <c:ser>
          <c:idx val="0"/>
          <c:order val="1"/>
          <c:tx>
            <c:strRef>
              <c:f>'fertiliser demand calculation'!$C$10</c:f>
              <c:strCache>
                <c:ptCount val="1"/>
                <c:pt idx="0">
                  <c:v>Total demand P kg/ha</c:v>
                </c:pt>
              </c:strCache>
            </c:strRef>
          </c:tx>
          <c:invertIfNegative val="0"/>
          <c:cat>
            <c:strRef>
              <c:f>'fertiliser demand calculation'!$A$11:$A$30</c:f>
              <c:strCache>
                <c:ptCount val="20"/>
                <c:pt idx="0">
                  <c:v>wheat </c:v>
                </c:pt>
                <c:pt idx="1">
                  <c:v>barley</c:v>
                </c:pt>
                <c:pt idx="2">
                  <c:v>peas*</c:v>
                </c:pt>
                <c:pt idx="3">
                  <c:v>broad beans*</c:v>
                </c:pt>
                <c:pt idx="4">
                  <c:v>oat</c:v>
                </c:pt>
                <c:pt idx="5">
                  <c:v>potato</c:v>
                </c:pt>
                <c:pt idx="6">
                  <c:v>onion</c:v>
                </c:pt>
                <c:pt idx="7">
                  <c:v>lettuce and Green-Leaf Crops</c:v>
                </c:pt>
                <c:pt idx="8">
                  <c:v>carrot </c:v>
                </c:pt>
                <c:pt idx="9">
                  <c:v>Radish </c:v>
                </c:pt>
                <c:pt idx="10">
                  <c:v>Millets</c:v>
                </c:pt>
                <c:pt idx="11">
                  <c:v>tomato</c:v>
                </c:pt>
                <c:pt idx="12">
                  <c:v>water melon</c:v>
                </c:pt>
                <c:pt idx="13">
                  <c:v>cucumber</c:v>
                </c:pt>
                <c:pt idx="14">
                  <c:v>eggplant</c:v>
                </c:pt>
                <c:pt idx="15">
                  <c:v>pepper</c:v>
                </c:pt>
                <c:pt idx="16">
                  <c:v>cauliflower</c:v>
                </c:pt>
                <c:pt idx="17">
                  <c:v>olive tree</c:v>
                </c:pt>
                <c:pt idx="18">
                  <c:v>palm tree</c:v>
                </c:pt>
                <c:pt idx="19">
                  <c:v>alfalfa*</c:v>
                </c:pt>
              </c:strCache>
            </c:strRef>
          </c:cat>
          <c:val>
            <c:numRef>
              <c:f>'fertiliser demand calculation'!$C$11:$C$30</c:f>
              <c:numCache>
                <c:formatCode>0.0</c:formatCode>
                <c:ptCount val="20"/>
                <c:pt idx="0">
                  <c:v>0</c:v>
                </c:pt>
                <c:pt idx="1">
                  <c:v>0</c:v>
                </c:pt>
                <c:pt idx="2">
                  <c:v>0</c:v>
                </c:pt>
                <c:pt idx="3">
                  <c:v>0</c:v>
                </c:pt>
                <c:pt idx="4">
                  <c:v>0</c:v>
                </c:pt>
                <c:pt idx="5">
                  <c:v>0</c:v>
                </c:pt>
                <c:pt idx="6">
                  <c:v>0</c:v>
                </c:pt>
                <c:pt idx="7">
                  <c:v>15.84</c:v>
                </c:pt>
                <c:pt idx="8">
                  <c:v>18.7</c:v>
                </c:pt>
                <c:pt idx="9">
                  <c:v>41.36</c:v>
                </c:pt>
                <c:pt idx="10">
                  <c:v>5.3855999999999993</c:v>
                </c:pt>
                <c:pt idx="11">
                  <c:v>20.195999999999998</c:v>
                </c:pt>
                <c:pt idx="12">
                  <c:v>0</c:v>
                </c:pt>
                <c:pt idx="13">
                  <c:v>8.0079999999999991</c:v>
                </c:pt>
                <c:pt idx="14">
                  <c:v>7.3920000000000003</c:v>
                </c:pt>
                <c:pt idx="15">
                  <c:v>3.8236000000000008</c:v>
                </c:pt>
                <c:pt idx="16">
                  <c:v>7.92</c:v>
                </c:pt>
                <c:pt idx="17">
                  <c:v>0</c:v>
                </c:pt>
                <c:pt idx="18">
                  <c:v>0</c:v>
                </c:pt>
                <c:pt idx="19">
                  <c:v>0</c:v>
                </c:pt>
              </c:numCache>
            </c:numRef>
          </c:val>
          <c:extLst xmlns:c16r2="http://schemas.microsoft.com/office/drawing/2015/06/chart">
            <c:ext xmlns:c16="http://schemas.microsoft.com/office/drawing/2014/chart" uri="{C3380CC4-5D6E-409C-BE32-E72D297353CC}">
              <c16:uniqueId val="{00000001-DB6E-4F0C-9943-C719750B3468}"/>
            </c:ext>
          </c:extLst>
        </c:ser>
        <c:dLbls>
          <c:showLegendKey val="0"/>
          <c:showVal val="0"/>
          <c:showCatName val="0"/>
          <c:showSerName val="0"/>
          <c:showPercent val="0"/>
          <c:showBubbleSize val="0"/>
        </c:dLbls>
        <c:gapWidth val="150"/>
        <c:axId val="242771936"/>
        <c:axId val="242772328"/>
      </c:barChart>
      <c:catAx>
        <c:axId val="242771936"/>
        <c:scaling>
          <c:orientation val="minMax"/>
        </c:scaling>
        <c:delete val="0"/>
        <c:axPos val="b"/>
        <c:numFmt formatCode="General" sourceLinked="0"/>
        <c:majorTickMark val="out"/>
        <c:minorTickMark val="none"/>
        <c:tickLblPos val="nextTo"/>
        <c:crossAx val="242772328"/>
        <c:crosses val="autoZero"/>
        <c:auto val="1"/>
        <c:lblAlgn val="ctr"/>
        <c:lblOffset val="100"/>
        <c:noMultiLvlLbl val="0"/>
      </c:catAx>
      <c:valAx>
        <c:axId val="242772328"/>
        <c:scaling>
          <c:orientation val="minMax"/>
        </c:scaling>
        <c:delete val="0"/>
        <c:axPos val="l"/>
        <c:majorGridlines/>
        <c:title>
          <c:tx>
            <c:rich>
              <a:bodyPr rot="-5400000" vert="horz"/>
              <a:lstStyle/>
              <a:p>
                <a:pPr>
                  <a:defRPr/>
                </a:pPr>
                <a:r>
                  <a:rPr lang="en-GB"/>
                  <a:t>kg/ha</a:t>
                </a:r>
              </a:p>
            </c:rich>
          </c:tx>
          <c:overlay val="0"/>
        </c:title>
        <c:numFmt formatCode="0.00" sourceLinked="1"/>
        <c:majorTickMark val="out"/>
        <c:minorTickMark val="none"/>
        <c:tickLblPos val="nextTo"/>
        <c:crossAx val="242771936"/>
        <c:crosses val="autoZero"/>
        <c:crossBetween val="between"/>
      </c:valAx>
    </c:plotArea>
    <c:legend>
      <c:legendPos val="r"/>
      <c:layout>
        <c:manualLayout>
          <c:xMode val="edge"/>
          <c:yMode val="edge"/>
          <c:x val="0.68659725160004914"/>
          <c:y val="0.33611391076115488"/>
          <c:w val="0.29953793037568766"/>
          <c:h val="0.26443884514435717"/>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K</a:t>
            </a:r>
            <a:r>
              <a:rPr lang="en-GB" baseline="0"/>
              <a:t> Supply</a:t>
            </a:r>
            <a:endParaRPr lang="en-GB"/>
          </a:p>
        </c:rich>
      </c:tx>
      <c:layout>
        <c:manualLayout>
          <c:xMode val="edge"/>
          <c:yMode val="edge"/>
          <c:x val="0.35606307775965246"/>
          <c:y val="2.1739130434782612E-2"/>
        </c:manualLayout>
      </c:layout>
      <c:overlay val="1"/>
    </c:title>
    <c:autoTitleDeleted val="0"/>
    <c:plotArea>
      <c:layout/>
      <c:barChart>
        <c:barDir val="col"/>
        <c:grouping val="clustered"/>
        <c:varyColors val="0"/>
        <c:ser>
          <c:idx val="2"/>
          <c:order val="0"/>
          <c:tx>
            <c:strRef>
              <c:f>'fertiliser demand calculation'!$D$10</c:f>
              <c:strCache>
                <c:ptCount val="1"/>
                <c:pt idx="0">
                  <c:v>Total demandK kg/ha</c:v>
                </c:pt>
              </c:strCache>
            </c:strRef>
          </c:tx>
          <c:invertIfNegative val="0"/>
          <c:cat>
            <c:strRef>
              <c:f>'fertiliser demand calculation'!$A$11:$A$30</c:f>
              <c:strCache>
                <c:ptCount val="20"/>
                <c:pt idx="0">
                  <c:v>wheat </c:v>
                </c:pt>
                <c:pt idx="1">
                  <c:v>barley</c:v>
                </c:pt>
                <c:pt idx="2">
                  <c:v>peas*</c:v>
                </c:pt>
                <c:pt idx="3">
                  <c:v>broad beans*</c:v>
                </c:pt>
                <c:pt idx="4">
                  <c:v>oat</c:v>
                </c:pt>
                <c:pt idx="5">
                  <c:v>potato</c:v>
                </c:pt>
                <c:pt idx="6">
                  <c:v>onion</c:v>
                </c:pt>
                <c:pt idx="7">
                  <c:v>lettuce and Green-Leaf Crops</c:v>
                </c:pt>
                <c:pt idx="8">
                  <c:v>carrot </c:v>
                </c:pt>
                <c:pt idx="9">
                  <c:v>Radish </c:v>
                </c:pt>
                <c:pt idx="10">
                  <c:v>Millets</c:v>
                </c:pt>
                <c:pt idx="11">
                  <c:v>tomato</c:v>
                </c:pt>
                <c:pt idx="12">
                  <c:v>water melon</c:v>
                </c:pt>
                <c:pt idx="13">
                  <c:v>cucumber</c:v>
                </c:pt>
                <c:pt idx="14">
                  <c:v>eggplant</c:v>
                </c:pt>
                <c:pt idx="15">
                  <c:v>pepper</c:v>
                </c:pt>
                <c:pt idx="16">
                  <c:v>cauliflower</c:v>
                </c:pt>
                <c:pt idx="17">
                  <c:v>olive tree</c:v>
                </c:pt>
                <c:pt idx="18">
                  <c:v>palm tree</c:v>
                </c:pt>
                <c:pt idx="19">
                  <c:v>alfalfa*</c:v>
                </c:pt>
              </c:strCache>
            </c:strRef>
          </c:cat>
          <c:val>
            <c:numRef>
              <c:f>'fertiliser demand calculation'!$D$11:$D$30</c:f>
              <c:numCache>
                <c:formatCode>0.0</c:formatCode>
                <c:ptCount val="20"/>
                <c:pt idx="0">
                  <c:v>0</c:v>
                </c:pt>
                <c:pt idx="1">
                  <c:v>0</c:v>
                </c:pt>
                <c:pt idx="2">
                  <c:v>0</c:v>
                </c:pt>
                <c:pt idx="3">
                  <c:v>0</c:v>
                </c:pt>
                <c:pt idx="4">
                  <c:v>0</c:v>
                </c:pt>
                <c:pt idx="5">
                  <c:v>0</c:v>
                </c:pt>
                <c:pt idx="6">
                  <c:v>0</c:v>
                </c:pt>
                <c:pt idx="7">
                  <c:v>179.28</c:v>
                </c:pt>
                <c:pt idx="8">
                  <c:v>85.074999999999989</c:v>
                </c:pt>
                <c:pt idx="9">
                  <c:v>340.3</c:v>
                </c:pt>
                <c:pt idx="10">
                  <c:v>27.887999999999998</c:v>
                </c:pt>
                <c:pt idx="11">
                  <c:v>246.51</c:v>
                </c:pt>
                <c:pt idx="12">
                  <c:v>0</c:v>
                </c:pt>
                <c:pt idx="13">
                  <c:v>37.765000000000001</c:v>
                </c:pt>
                <c:pt idx="14">
                  <c:v>98.77</c:v>
                </c:pt>
                <c:pt idx="15">
                  <c:v>40.172000000000004</c:v>
                </c:pt>
                <c:pt idx="16">
                  <c:v>66.399999999999991</c:v>
                </c:pt>
                <c:pt idx="17">
                  <c:v>0</c:v>
                </c:pt>
                <c:pt idx="18">
                  <c:v>0</c:v>
                </c:pt>
                <c:pt idx="19">
                  <c:v>0</c:v>
                </c:pt>
              </c:numCache>
            </c:numRef>
          </c:val>
          <c:extLst xmlns:c16r2="http://schemas.microsoft.com/office/drawing/2015/06/chart">
            <c:ext xmlns:c16="http://schemas.microsoft.com/office/drawing/2014/chart" uri="{C3380CC4-5D6E-409C-BE32-E72D297353CC}">
              <c16:uniqueId val="{00000000-4FD7-46EF-8665-84822FFC58BC}"/>
            </c:ext>
          </c:extLst>
        </c:ser>
        <c:ser>
          <c:idx val="0"/>
          <c:order val="1"/>
          <c:tx>
            <c:strRef>
              <c:f>'fertiliser demand calculation'!$G$10</c:f>
              <c:strCache>
                <c:ptCount val="1"/>
                <c:pt idx="0">
                  <c:v>K from irrigation water kg/ha</c:v>
                </c:pt>
              </c:strCache>
            </c:strRef>
          </c:tx>
          <c:invertIfNegative val="0"/>
          <c:cat>
            <c:strRef>
              <c:f>'fertiliser demand calculation'!$A$11:$A$30</c:f>
              <c:strCache>
                <c:ptCount val="20"/>
                <c:pt idx="0">
                  <c:v>wheat </c:v>
                </c:pt>
                <c:pt idx="1">
                  <c:v>barley</c:v>
                </c:pt>
                <c:pt idx="2">
                  <c:v>peas*</c:v>
                </c:pt>
                <c:pt idx="3">
                  <c:v>broad beans*</c:v>
                </c:pt>
                <c:pt idx="4">
                  <c:v>oat</c:v>
                </c:pt>
                <c:pt idx="5">
                  <c:v>potato</c:v>
                </c:pt>
                <c:pt idx="6">
                  <c:v>onion</c:v>
                </c:pt>
                <c:pt idx="7">
                  <c:v>lettuce and Green-Leaf Crops</c:v>
                </c:pt>
                <c:pt idx="8">
                  <c:v>carrot </c:v>
                </c:pt>
                <c:pt idx="9">
                  <c:v>Radish </c:v>
                </c:pt>
                <c:pt idx="10">
                  <c:v>Millets</c:v>
                </c:pt>
                <c:pt idx="11">
                  <c:v>tomato</c:v>
                </c:pt>
                <c:pt idx="12">
                  <c:v>water melon</c:v>
                </c:pt>
                <c:pt idx="13">
                  <c:v>cucumber</c:v>
                </c:pt>
                <c:pt idx="14">
                  <c:v>eggplant</c:v>
                </c:pt>
                <c:pt idx="15">
                  <c:v>pepper</c:v>
                </c:pt>
                <c:pt idx="16">
                  <c:v>cauliflower</c:v>
                </c:pt>
                <c:pt idx="17">
                  <c:v>olive tree</c:v>
                </c:pt>
                <c:pt idx="18">
                  <c:v>palm tree</c:v>
                </c:pt>
                <c:pt idx="19">
                  <c:v>alfalfa*</c:v>
                </c:pt>
              </c:strCache>
            </c:strRef>
          </c:cat>
          <c:val>
            <c:numRef>
              <c:f>'fertiliser demand calculation'!$G$11:$G$30</c:f>
              <c:numCache>
                <c:formatCode>0.00</c:formatCode>
                <c:ptCount val="20"/>
                <c:pt idx="0">
                  <c:v>0</c:v>
                </c:pt>
                <c:pt idx="1">
                  <c:v>0</c:v>
                </c:pt>
                <c:pt idx="2">
                  <c:v>0</c:v>
                </c:pt>
                <c:pt idx="3">
                  <c:v>0</c:v>
                </c:pt>
                <c:pt idx="4">
                  <c:v>0</c:v>
                </c:pt>
                <c:pt idx="5">
                  <c:v>0</c:v>
                </c:pt>
                <c:pt idx="6">
                  <c:v>0</c:v>
                </c:pt>
                <c:pt idx="7">
                  <c:v>218.57142857142858</c:v>
                </c:pt>
                <c:pt idx="8">
                  <c:v>284.75409836065569</c:v>
                </c:pt>
                <c:pt idx="9">
                  <c:v>87.423510466988716</c:v>
                </c:pt>
                <c:pt idx="10">
                  <c:v>387.63636363636363</c:v>
                </c:pt>
                <c:pt idx="11">
                  <c:v>380.15151515151513</c:v>
                </c:pt>
                <c:pt idx="12">
                  <c:v>0</c:v>
                </c:pt>
                <c:pt idx="13">
                  <c:v>271.52777777777777</c:v>
                </c:pt>
                <c:pt idx="14">
                  <c:v>503.27160493827159</c:v>
                </c:pt>
                <c:pt idx="15">
                  <c:v>556.68350168350162</c:v>
                </c:pt>
                <c:pt idx="16">
                  <c:v>297.22222222222217</c:v>
                </c:pt>
                <c:pt idx="17">
                  <c:v>0</c:v>
                </c:pt>
                <c:pt idx="18">
                  <c:v>0</c:v>
                </c:pt>
                <c:pt idx="19">
                  <c:v>0</c:v>
                </c:pt>
              </c:numCache>
            </c:numRef>
          </c:val>
          <c:extLst xmlns:c16r2="http://schemas.microsoft.com/office/drawing/2015/06/chart">
            <c:ext xmlns:c16="http://schemas.microsoft.com/office/drawing/2014/chart" uri="{C3380CC4-5D6E-409C-BE32-E72D297353CC}">
              <c16:uniqueId val="{00000001-4FD7-46EF-8665-84822FFC58BC}"/>
            </c:ext>
          </c:extLst>
        </c:ser>
        <c:dLbls>
          <c:showLegendKey val="0"/>
          <c:showVal val="0"/>
          <c:showCatName val="0"/>
          <c:showSerName val="0"/>
          <c:showPercent val="0"/>
          <c:showBubbleSize val="0"/>
        </c:dLbls>
        <c:gapWidth val="150"/>
        <c:axId val="242773112"/>
        <c:axId val="242773504"/>
      </c:barChart>
      <c:catAx>
        <c:axId val="242773112"/>
        <c:scaling>
          <c:orientation val="minMax"/>
        </c:scaling>
        <c:delete val="0"/>
        <c:axPos val="b"/>
        <c:numFmt formatCode="General" sourceLinked="0"/>
        <c:majorTickMark val="out"/>
        <c:minorTickMark val="none"/>
        <c:tickLblPos val="nextTo"/>
        <c:crossAx val="242773504"/>
        <c:crosses val="autoZero"/>
        <c:auto val="1"/>
        <c:lblAlgn val="ctr"/>
        <c:lblOffset val="100"/>
        <c:noMultiLvlLbl val="0"/>
      </c:catAx>
      <c:valAx>
        <c:axId val="242773504"/>
        <c:scaling>
          <c:orientation val="minMax"/>
        </c:scaling>
        <c:delete val="0"/>
        <c:axPos val="l"/>
        <c:majorGridlines/>
        <c:title>
          <c:tx>
            <c:rich>
              <a:bodyPr rot="-5400000" vert="horz"/>
              <a:lstStyle/>
              <a:p>
                <a:pPr>
                  <a:defRPr/>
                </a:pPr>
                <a:r>
                  <a:rPr lang="en-GB"/>
                  <a:t>kg/ha</a:t>
                </a:r>
              </a:p>
            </c:rich>
          </c:tx>
          <c:overlay val="0"/>
        </c:title>
        <c:numFmt formatCode="0.0" sourceLinked="1"/>
        <c:majorTickMark val="out"/>
        <c:minorTickMark val="none"/>
        <c:tickLblPos val="nextTo"/>
        <c:crossAx val="24277311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oneCellAnchor>
    <xdr:from>
      <xdr:col>0</xdr:col>
      <xdr:colOff>66676</xdr:colOff>
      <xdr:row>0</xdr:row>
      <xdr:rowOff>0</xdr:rowOff>
    </xdr:from>
    <xdr:ext cx="12544424" cy="11004423"/>
    <xdr:sp macro="" textlink="">
      <xdr:nvSpPr>
        <xdr:cNvPr id="2" name="TextBox 1">
          <a:extLst>
            <a:ext uri="{FF2B5EF4-FFF2-40B4-BE49-F238E27FC236}">
              <a16:creationId xmlns:a16="http://schemas.microsoft.com/office/drawing/2014/main" xmlns="" id="{26F020D7-151A-4E0C-B70F-A2BBE480D034}"/>
            </a:ext>
          </a:extLst>
        </xdr:cNvPr>
        <xdr:cNvSpPr txBox="1"/>
      </xdr:nvSpPr>
      <xdr:spPr>
        <a:xfrm>
          <a:off x="66676" y="0"/>
          <a:ext cx="12544424" cy="110044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ct val="150000"/>
            </a:lnSpc>
            <a:spcBef>
              <a:spcPts val="600"/>
            </a:spcBef>
            <a:spcAft>
              <a:spcPts val="600"/>
            </a:spcAft>
          </a:pPr>
          <a:r>
            <a:rPr lang="en-GB" sz="1100" b="1">
              <a:effectLst/>
              <a:latin typeface="Times New Roman" panose="02020603050405020304" pitchFamily="18" charset="0"/>
              <a:ea typeface="Calibri" panose="020F0502020204030204" pitchFamily="34" charset="0"/>
              <a:cs typeface="Arial" panose="020B0604020202020204" pitchFamily="34" charset="0"/>
            </a:rPr>
            <a:t>Modelling Tool for Evaluating Wastewater Reuse Options for Agricultural Purposes </a:t>
          </a:r>
          <a:endParaRPr lang="en-GB" sz="1100">
            <a:effectLst/>
            <a:latin typeface="Times New Roman" panose="02020603050405020304" pitchFamily="18" charset="0"/>
            <a:ea typeface="Calibri" panose="020F0502020204030204" pitchFamily="34" charset="0"/>
            <a:cs typeface="Arial" panose="020B0604020202020204" pitchFamily="34" charset="0"/>
          </a:endParaRPr>
        </a:p>
        <a:p>
          <a:pPr>
            <a:lnSpc>
              <a:spcPct val="150000"/>
            </a:lnSpc>
            <a:spcBef>
              <a:spcPts val="600"/>
            </a:spcBef>
            <a:spcAft>
              <a:spcPts val="600"/>
            </a:spcAft>
          </a:pPr>
          <a:r>
            <a:rPr lang="en-GB" sz="1100" b="1">
              <a:effectLst/>
              <a:latin typeface="Times New Roman" panose="02020603050405020304" pitchFamily="18" charset="0"/>
              <a:ea typeface="Calibri" panose="020F0502020204030204" pitchFamily="34" charset="0"/>
              <a:cs typeface="Arial" panose="020B0604020202020204" pitchFamily="34" charset="0"/>
            </a:rPr>
            <a:t>© University of Leeds. </a:t>
          </a:r>
          <a:endParaRPr lang="en-GB" sz="1100">
            <a:effectLst/>
            <a:latin typeface="Times New Roman" panose="02020603050405020304" pitchFamily="18" charset="0"/>
            <a:ea typeface="Calibri" panose="020F0502020204030204" pitchFamily="34" charset="0"/>
            <a:cs typeface="Arial" panose="020B0604020202020204" pitchFamily="34" charset="0"/>
          </a:endParaRPr>
        </a:p>
        <a:p>
          <a:pPr>
            <a:lnSpc>
              <a:spcPct val="150000"/>
            </a:lnSpc>
            <a:spcBef>
              <a:spcPts val="600"/>
            </a:spcBef>
            <a:spcAft>
              <a:spcPts val="600"/>
            </a:spcAft>
          </a:pPr>
          <a:r>
            <a:rPr lang="en-GB" sz="1100" b="1">
              <a:effectLst/>
              <a:latin typeface="Times New Roman" panose="02020603050405020304" pitchFamily="18" charset="0"/>
              <a:ea typeface="Calibri" panose="020F0502020204030204" pitchFamily="34" charset="0"/>
              <a:cs typeface="Arial" panose="020B0604020202020204" pitchFamily="34" charset="0"/>
            </a:rPr>
            <a:t>Authors: Manal Elgallal, Louise Fletcher, and Barbara Evans </a:t>
          </a:r>
          <a:r>
            <a:rPr lang="en-GB" sz="1100">
              <a:effectLst/>
              <a:latin typeface="Times New Roman" panose="02020603050405020304" pitchFamily="18" charset="0"/>
              <a:ea typeface="Calibri" panose="020F0502020204030204" pitchFamily="34" charset="0"/>
              <a:cs typeface="Arial" panose="020B0604020202020204" pitchFamily="34" charset="0"/>
            </a:rPr>
            <a:t> </a:t>
          </a:r>
        </a:p>
        <a:p>
          <a:pPr>
            <a:lnSpc>
              <a:spcPct val="150000"/>
            </a:lnSpc>
            <a:spcBef>
              <a:spcPts val="600"/>
            </a:spcBef>
            <a:spcAft>
              <a:spcPts val="600"/>
            </a:spcAft>
          </a:pPr>
          <a:r>
            <a:rPr lang="en-GB" sz="1100">
              <a:effectLst/>
              <a:latin typeface="Times New Roman" panose="02020603050405020304" pitchFamily="18" charset="0"/>
              <a:ea typeface="Calibri" panose="020F0502020204030204" pitchFamily="34" charset="0"/>
              <a:cs typeface="Arial" panose="020B0604020202020204" pitchFamily="34" charset="0"/>
            </a:rPr>
            <a:t>The purpose of this tool is to help decision- maker to select the most effective wastewater management option(s) for reuse in agriculture </a:t>
          </a:r>
        </a:p>
        <a:p>
          <a:pPr>
            <a:lnSpc>
              <a:spcPct val="150000"/>
            </a:lnSpc>
            <a:spcBef>
              <a:spcPts val="600"/>
            </a:spcBef>
            <a:spcAft>
              <a:spcPts val="600"/>
            </a:spcAft>
          </a:pPr>
          <a:r>
            <a:rPr lang="en-GB" sz="1100">
              <a:effectLst/>
              <a:latin typeface="Times New Roman" panose="02020603050405020304" pitchFamily="18" charset="0"/>
              <a:ea typeface="Calibri" panose="020F0502020204030204" pitchFamily="34" charset="0"/>
              <a:cs typeface="Arial" panose="020B0604020202020204" pitchFamily="34" charset="0"/>
            </a:rPr>
            <a:t>This tool combine three aspect: </a:t>
          </a:r>
        </a:p>
        <a:p>
          <a:pPr marL="342900" lvl="0" indent="-342900">
            <a:lnSpc>
              <a:spcPct val="150000"/>
            </a:lnSpc>
            <a:spcBef>
              <a:spcPts val="600"/>
            </a:spcBef>
            <a:spcAft>
              <a:spcPts val="0"/>
            </a:spcAft>
            <a:buFont typeface="+mj-lt"/>
            <a:buAutoNum type="arabicPeriod"/>
          </a:pPr>
          <a:r>
            <a:rPr lang="en-GB" sz="1100">
              <a:effectLst/>
              <a:latin typeface="Times New Roman" panose="02020603050405020304" pitchFamily="18" charset="0"/>
              <a:ea typeface="Calibri" panose="020F0502020204030204" pitchFamily="34" charset="0"/>
              <a:cs typeface="Arial" panose="020B0604020202020204" pitchFamily="34" charset="0"/>
            </a:rPr>
            <a:t>environmental risk assessment: assessing different wastewater reuse option for salinity and excessive nitrogen management.   </a:t>
          </a:r>
        </a:p>
        <a:p>
          <a:pPr marL="342900" lvl="0" indent="-342900">
            <a:lnSpc>
              <a:spcPct val="150000"/>
            </a:lnSpc>
            <a:spcAft>
              <a:spcPts val="0"/>
            </a:spcAft>
            <a:buFont typeface="+mj-lt"/>
            <a:buAutoNum type="arabicPeriod"/>
          </a:pPr>
          <a:r>
            <a:rPr lang="en-GB" sz="1100">
              <a:effectLst/>
              <a:latin typeface="Times New Roman" panose="02020603050405020304" pitchFamily="18" charset="0"/>
              <a:ea typeface="Calibri" panose="020F0502020204030204" pitchFamily="34" charset="0"/>
              <a:cs typeface="Arial" panose="020B0604020202020204" pitchFamily="34" charset="0"/>
            </a:rPr>
            <a:t>health risk assessment: which incorporate the results of </a:t>
          </a:r>
          <a:r>
            <a:rPr lang="en-GB" sz="1100">
              <a:solidFill>
                <a:srgbClr val="000000"/>
              </a:solidFill>
              <a:effectLst/>
              <a:latin typeface="Times New Roman" panose="02020603050405020304" pitchFamily="18" charset="0"/>
              <a:ea typeface="Times New Roman" panose="02020603050405020304" pitchFamily="18" charset="0"/>
              <a:cs typeface="Times New Roman" panose="02020603050405020304" pitchFamily="18" charset="0"/>
            </a:rPr>
            <a:t>Quantitative Microbial Risk Assessment and Monte Carlo computer program MC-QMRA.</a:t>
          </a:r>
          <a:endParaRPr lang="en-GB" sz="1100">
            <a:effectLst/>
            <a:latin typeface="Times New Roman" panose="02020603050405020304" pitchFamily="18" charset="0"/>
            <a:ea typeface="Calibri" panose="020F0502020204030204" pitchFamily="34" charset="0"/>
            <a:cs typeface="Arial" panose="020B0604020202020204" pitchFamily="34" charset="0"/>
          </a:endParaRPr>
        </a:p>
        <a:p>
          <a:pPr marL="342900" lvl="0" indent="-342900">
            <a:lnSpc>
              <a:spcPct val="150000"/>
            </a:lnSpc>
            <a:spcAft>
              <a:spcPts val="600"/>
            </a:spcAft>
            <a:buFont typeface="+mj-lt"/>
            <a:buAutoNum type="arabicPeriod"/>
          </a:pPr>
          <a:r>
            <a:rPr lang="en-GB" sz="1100">
              <a:solidFill>
                <a:srgbClr val="000000"/>
              </a:solidFill>
              <a:effectLst/>
              <a:latin typeface="Times New Roman" panose="02020603050405020304" pitchFamily="18" charset="0"/>
              <a:ea typeface="Times New Roman" panose="02020603050405020304" pitchFamily="18" charset="0"/>
              <a:cs typeface="Times New Roman" panose="02020603050405020304" pitchFamily="18" charset="0"/>
            </a:rPr>
            <a:t>Costs -benefits analysis: </a:t>
          </a:r>
          <a:r>
            <a:rPr lang="en-GB" sz="1100">
              <a:effectLst/>
              <a:latin typeface="Times New Roman" panose="02020603050405020304" pitchFamily="18" charset="0"/>
              <a:ea typeface="Calibri" panose="020F0502020204030204" pitchFamily="34" charset="0"/>
              <a:cs typeface="Times New Roman" panose="02020603050405020304" pitchFamily="18" charset="0"/>
            </a:rPr>
            <a:t>calculating life cycle costs and potential benefits of wastewater reuse strategies to decide which of these management strategies are economically justified</a:t>
          </a:r>
          <a:endParaRPr lang="en-GB" sz="1100">
            <a:effectLst/>
            <a:latin typeface="Times New Roman" panose="02020603050405020304" pitchFamily="18" charset="0"/>
            <a:ea typeface="Calibri" panose="020F0502020204030204" pitchFamily="34" charset="0"/>
            <a:cs typeface="Arial" panose="020B0604020202020204" pitchFamily="34" charset="0"/>
          </a:endParaRPr>
        </a:p>
        <a:p>
          <a:pPr>
            <a:lnSpc>
              <a:spcPct val="150000"/>
            </a:lnSpc>
            <a:spcBef>
              <a:spcPts val="600"/>
            </a:spcBef>
            <a:spcAft>
              <a:spcPts val="600"/>
            </a:spcAft>
          </a:pPr>
          <a:r>
            <a:rPr lang="en-GB" sz="1100" b="1">
              <a:solidFill>
                <a:srgbClr val="FF0000"/>
              </a:solidFill>
              <a:effectLst/>
              <a:latin typeface="Times New Roman" panose="02020603050405020304" pitchFamily="18" charset="0"/>
              <a:ea typeface="Calibri" panose="020F0502020204030204" pitchFamily="34" charset="0"/>
              <a:cs typeface="Arial" panose="020B0604020202020204" pitchFamily="34" charset="0"/>
            </a:rPr>
            <a:t>PLEASE NOTE:  </a:t>
          </a:r>
          <a:r>
            <a:rPr lang="en-GB" sz="1100" b="1">
              <a:solidFill>
                <a:srgbClr val="000000"/>
              </a:solidFill>
              <a:effectLst/>
              <a:latin typeface="Times New Roman" panose="02020603050405020304" pitchFamily="18" charset="0"/>
              <a:ea typeface="Calibri" panose="020F0502020204030204" pitchFamily="34" charset="0"/>
              <a:cs typeface="Arial" panose="020B0604020202020204" pitchFamily="34" charset="0"/>
            </a:rPr>
            <a:t>This is planning tool should </a:t>
          </a:r>
          <a:r>
            <a:rPr lang="en-GB" sz="1100" b="1" u="sng">
              <a:solidFill>
                <a:srgbClr val="000000"/>
              </a:solidFill>
              <a:effectLst/>
              <a:latin typeface="Times New Roman" panose="02020603050405020304" pitchFamily="18" charset="0"/>
              <a:ea typeface="Calibri" panose="020F0502020204030204" pitchFamily="34" charset="0"/>
              <a:cs typeface="Arial" panose="020B0604020202020204" pitchFamily="34" charset="0"/>
            </a:rPr>
            <a:t>NOT</a:t>
          </a:r>
          <a:r>
            <a:rPr lang="en-GB" sz="1100" b="1">
              <a:solidFill>
                <a:srgbClr val="FF0000"/>
              </a:solidFill>
              <a:effectLst/>
              <a:latin typeface="Times New Roman" panose="02020603050405020304" pitchFamily="18" charset="0"/>
              <a:ea typeface="Calibri" panose="020F0502020204030204" pitchFamily="34" charset="0"/>
              <a:cs typeface="Arial" panose="020B0604020202020204" pitchFamily="34" charset="0"/>
            </a:rPr>
            <a:t> </a:t>
          </a:r>
          <a:r>
            <a:rPr lang="en-GB" sz="1100" b="1">
              <a:solidFill>
                <a:srgbClr val="000000"/>
              </a:solidFill>
              <a:effectLst/>
              <a:latin typeface="Times New Roman" panose="02020603050405020304" pitchFamily="18" charset="0"/>
              <a:ea typeface="Calibri" panose="020F0502020204030204" pitchFamily="34" charset="0"/>
              <a:cs typeface="Arial" panose="020B0604020202020204" pitchFamily="34" charset="0"/>
            </a:rPr>
            <a:t>be used for detailed risk assessment, costing and design purposes.  </a:t>
          </a:r>
          <a:r>
            <a:rPr lang="en-GB" sz="1100" b="1">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Thus, numeric values that generated only provide a broad indication for comparing and prioritizing agricultural activities and wastewater management strategies</a:t>
          </a:r>
          <a:r>
            <a:rPr lang="en-GB" sz="1100" b="1">
              <a:solidFill>
                <a:srgbClr val="000000"/>
              </a:solidFill>
              <a:effectLst/>
              <a:latin typeface="Times New Roman" panose="02020603050405020304" pitchFamily="18" charset="0"/>
              <a:ea typeface="Calibri" panose="020F0502020204030204" pitchFamily="34" charset="0"/>
              <a:cs typeface="Arial" panose="020B0604020202020204" pitchFamily="34" charset="0"/>
            </a:rPr>
            <a:t>.  Users may need to estimate some key data required by the tool and should be aware that the results are only indicative and dependent on the quality of the data input.</a:t>
          </a:r>
          <a:endParaRPr lang="en-GB" sz="1100">
            <a:effectLst/>
            <a:latin typeface="Times New Roman" panose="02020603050405020304" pitchFamily="18" charset="0"/>
            <a:ea typeface="Calibri" panose="020F0502020204030204" pitchFamily="34" charset="0"/>
            <a:cs typeface="Arial" panose="020B0604020202020204" pitchFamily="34" charset="0"/>
          </a:endParaRPr>
        </a:p>
        <a:p>
          <a:pPr>
            <a:lnSpc>
              <a:spcPct val="150000"/>
            </a:lnSpc>
            <a:spcBef>
              <a:spcPts val="600"/>
            </a:spcBef>
            <a:spcAft>
              <a:spcPts val="600"/>
            </a:spcAft>
          </a:pPr>
          <a:r>
            <a:rPr lang="en-GB" sz="1100" b="1">
              <a:solidFill>
                <a:srgbClr val="FF0000"/>
              </a:solidFill>
              <a:effectLst/>
              <a:latin typeface="Times New Roman" panose="02020603050405020304" pitchFamily="18" charset="0"/>
              <a:ea typeface="Calibri" panose="020F0502020204030204" pitchFamily="34" charset="0"/>
              <a:cs typeface="Arial" panose="020B0604020202020204" pitchFamily="34" charset="0"/>
            </a:rPr>
            <a:t> </a:t>
          </a:r>
          <a:r>
            <a:rPr lang="en-GB" sz="1600" b="1">
              <a:effectLst/>
              <a:latin typeface="Times New Roman" panose="02020603050405020304" pitchFamily="18" charset="0"/>
              <a:ea typeface="Calibri" panose="020F0502020204030204" pitchFamily="34" charset="0"/>
              <a:cs typeface="Arial" panose="020B0604020202020204" pitchFamily="34" charset="0"/>
            </a:rPr>
            <a:t>How to Use</a:t>
          </a:r>
          <a:r>
            <a:rPr lang="en-GB" sz="1100" b="1">
              <a:effectLst/>
              <a:latin typeface="Times New Roman" panose="02020603050405020304" pitchFamily="18" charset="0"/>
              <a:ea typeface="Calibri" panose="020F0502020204030204" pitchFamily="34" charset="0"/>
              <a:cs typeface="Arial" panose="020B0604020202020204" pitchFamily="34" charset="0"/>
            </a:rPr>
            <a:t>:  </a:t>
          </a:r>
          <a:r>
            <a:rPr lang="en-GB" sz="1100">
              <a:effectLst/>
              <a:latin typeface="Times New Roman" panose="02020603050405020304" pitchFamily="18" charset="0"/>
              <a:ea typeface="Calibri" panose="020F0502020204030204" pitchFamily="34" charset="0"/>
              <a:cs typeface="Arial" panose="020B0604020202020204" pitchFamily="34" charset="0"/>
            </a:rPr>
            <a:t> this tool is divided into 4 sections, </a:t>
          </a:r>
          <a:r>
            <a:rPr lang="en-GB" sz="1100" b="1">
              <a:effectLst/>
              <a:latin typeface="Times New Roman" panose="02020603050405020304" pitchFamily="18" charset="0"/>
              <a:ea typeface="Calibri" panose="020F0502020204030204" pitchFamily="34" charset="0"/>
              <a:cs typeface="Arial" panose="020B0604020202020204" pitchFamily="34" charset="0"/>
            </a:rPr>
            <a:t>variable , Input Data, Results  Calculations, </a:t>
          </a:r>
          <a:endParaRPr lang="en-GB" sz="1100">
            <a:effectLst/>
            <a:latin typeface="Times New Roman" panose="02020603050405020304" pitchFamily="18" charset="0"/>
            <a:ea typeface="Calibri" panose="020F0502020204030204" pitchFamily="34" charset="0"/>
            <a:cs typeface="Arial" panose="020B0604020202020204" pitchFamily="34" charset="0"/>
          </a:endParaRPr>
        </a:p>
        <a:p>
          <a:pPr>
            <a:lnSpc>
              <a:spcPct val="150000"/>
            </a:lnSpc>
            <a:spcBef>
              <a:spcPts val="600"/>
            </a:spcBef>
            <a:spcAft>
              <a:spcPts val="600"/>
            </a:spcAft>
          </a:pPr>
          <a:r>
            <a:rPr lang="en-GB" sz="1400" b="1">
              <a:solidFill>
                <a:schemeClr val="accent5">
                  <a:lumMod val="75000"/>
                </a:schemeClr>
              </a:solidFill>
              <a:effectLst/>
              <a:latin typeface="Times New Roman" panose="02020603050405020304" pitchFamily="18" charset="0"/>
              <a:ea typeface="Calibri" panose="020F0502020204030204" pitchFamily="34" charset="0"/>
              <a:cs typeface="Arial" panose="020B0604020202020204" pitchFamily="34" charset="0"/>
            </a:rPr>
            <a:t>Variable: </a:t>
          </a:r>
        </a:p>
        <a:p>
          <a:pPr>
            <a:lnSpc>
              <a:spcPct val="150000"/>
            </a:lnSpc>
            <a:spcBef>
              <a:spcPts val="600"/>
            </a:spcBef>
            <a:spcAft>
              <a:spcPts val="600"/>
            </a:spcAft>
          </a:pPr>
          <a:r>
            <a:rPr lang="en-GB" sz="1100">
              <a:effectLst/>
              <a:latin typeface="Times New Roman" panose="02020603050405020304" pitchFamily="18" charset="0"/>
              <a:ea typeface="Calibri" panose="020F0502020204030204" pitchFamily="34" charset="0"/>
              <a:cs typeface="Arial" panose="020B0604020202020204" pitchFamily="34" charset="0"/>
            </a:rPr>
            <a:t>This sheet for selecting wastewater management option and changing some key variable for particular management strategy </a:t>
          </a:r>
        </a:p>
        <a:p>
          <a:pPr>
            <a:lnSpc>
              <a:spcPct val="150000"/>
            </a:lnSpc>
            <a:spcBef>
              <a:spcPts val="600"/>
            </a:spcBef>
            <a:spcAft>
              <a:spcPts val="600"/>
            </a:spcAft>
          </a:pPr>
          <a:r>
            <a:rPr lang="en-GB" sz="1400" b="1">
              <a:solidFill>
                <a:srgbClr val="FFC000"/>
              </a:solidFill>
              <a:effectLst/>
              <a:latin typeface="Times New Roman" panose="02020603050405020304" pitchFamily="18" charset="0"/>
              <a:ea typeface="Calibri" panose="020F0502020204030204" pitchFamily="34" charset="0"/>
              <a:cs typeface="Arial" panose="020B0604020202020204" pitchFamily="34" charset="0"/>
            </a:rPr>
            <a:t>Input Data:</a:t>
          </a:r>
        </a:p>
        <a:p>
          <a:pPr>
            <a:lnSpc>
              <a:spcPct val="150000"/>
            </a:lnSpc>
            <a:spcBef>
              <a:spcPts val="600"/>
            </a:spcBef>
            <a:spcAft>
              <a:spcPts val="600"/>
            </a:spcAft>
          </a:pPr>
          <a:r>
            <a:rPr lang="en-GB" sz="1100" b="1">
              <a:effectLst/>
              <a:latin typeface="Times New Roman" panose="02020603050405020304" pitchFamily="18" charset="0"/>
              <a:ea typeface="Calibri" panose="020F0502020204030204" pitchFamily="34" charset="0"/>
              <a:cs typeface="Arial" panose="020B0604020202020204" pitchFamily="34" charset="0"/>
            </a:rPr>
            <a:t>(risk assessment) </a:t>
          </a:r>
          <a:r>
            <a:rPr lang="en-GB" sz="1100">
              <a:effectLst/>
              <a:latin typeface="Times New Roman" panose="02020603050405020304" pitchFamily="18" charset="0"/>
              <a:ea typeface="Calibri" panose="020F0502020204030204" pitchFamily="34" charset="0"/>
              <a:cs typeface="Arial" panose="020B0604020202020204" pitchFamily="34" charset="0"/>
            </a:rPr>
            <a:t>Key input data for salinity management (including: crops water requirement, irrigation efficiency, salinity level in water supply and salt tolerance threshold of crops), fertiliser demand and excessive nutrient management (including nutrient level in wastewater, crops nutrient uptake/remove, nutrient in soil, chemical fertiliser), QMRA simulation results, and finally general information needed for life cycle costs ( such as population, wastewater consumption per capital, min annual wages). The user may enter desired values in this section. </a:t>
          </a:r>
        </a:p>
        <a:p>
          <a:pPr>
            <a:lnSpc>
              <a:spcPct val="150000"/>
            </a:lnSpc>
            <a:spcBef>
              <a:spcPts val="600"/>
            </a:spcBef>
            <a:spcAft>
              <a:spcPts val="600"/>
            </a:spcAft>
          </a:pPr>
          <a:r>
            <a:rPr lang="en-GB" sz="1100" b="1">
              <a:effectLst/>
              <a:latin typeface="Times New Roman" panose="02020603050405020304" pitchFamily="18" charset="0"/>
              <a:ea typeface="Calibri" panose="020F0502020204030204" pitchFamily="34" charset="0"/>
              <a:cs typeface="Arial" panose="020B0604020202020204" pitchFamily="34" charset="0"/>
            </a:rPr>
            <a:t>(costs-benefits) </a:t>
          </a:r>
          <a:r>
            <a:rPr lang="en-GB" sz="1100">
              <a:effectLst/>
              <a:latin typeface="Times New Roman" panose="02020603050405020304" pitchFamily="18" charset="0"/>
              <a:ea typeface="Calibri" panose="020F0502020204030204" pitchFamily="34" charset="0"/>
              <a:cs typeface="Arial" panose="020B0604020202020204" pitchFamily="34" charset="0"/>
            </a:rPr>
            <a:t>Key input data for costs and benefits analysis. The user may enter desired values in this section. </a:t>
          </a:r>
        </a:p>
        <a:p>
          <a:pPr>
            <a:lnSpc>
              <a:spcPct val="150000"/>
            </a:lnSpc>
            <a:spcBef>
              <a:spcPts val="600"/>
            </a:spcBef>
            <a:spcAft>
              <a:spcPts val="600"/>
            </a:spcAft>
          </a:pPr>
          <a:r>
            <a:rPr lang="en-GB" sz="1400" b="1">
              <a:solidFill>
                <a:schemeClr val="accent3">
                  <a:lumMod val="60000"/>
                  <a:lumOff val="40000"/>
                </a:schemeClr>
              </a:solidFill>
              <a:effectLst/>
              <a:latin typeface="Times New Roman" panose="02020603050405020304" pitchFamily="18" charset="0"/>
              <a:ea typeface="Calibri" panose="020F0502020204030204" pitchFamily="34" charset="0"/>
              <a:cs typeface="Arial" panose="020B0604020202020204" pitchFamily="34" charset="0"/>
            </a:rPr>
            <a:t>Calculations</a:t>
          </a:r>
          <a:r>
            <a:rPr lang="en-GB" sz="1100" b="1">
              <a:effectLst/>
              <a:latin typeface="Times New Roman" panose="02020603050405020304" pitchFamily="18" charset="0"/>
              <a:ea typeface="Calibri" panose="020F0502020204030204" pitchFamily="34" charset="0"/>
              <a:cs typeface="Arial" panose="020B0604020202020204" pitchFamily="34" charset="0"/>
            </a:rPr>
            <a:t> :</a:t>
          </a:r>
        </a:p>
        <a:p>
          <a:pPr>
            <a:lnSpc>
              <a:spcPct val="150000"/>
            </a:lnSpc>
            <a:spcBef>
              <a:spcPts val="600"/>
            </a:spcBef>
            <a:spcAft>
              <a:spcPts val="600"/>
            </a:spcAft>
          </a:pPr>
          <a:r>
            <a:rPr lang="en-GB" sz="1100" b="1">
              <a:effectLst/>
              <a:latin typeface="Times New Roman" panose="02020603050405020304" pitchFamily="18" charset="0"/>
              <a:ea typeface="Calibri" panose="020F0502020204030204" pitchFamily="34" charset="0"/>
              <a:cs typeface="Arial" panose="020B0604020202020204" pitchFamily="34" charset="0"/>
            </a:rPr>
            <a:t> </a:t>
          </a:r>
          <a:r>
            <a:rPr lang="en-GB" sz="1100">
              <a:effectLst/>
              <a:latin typeface="Times New Roman" panose="02020603050405020304" pitchFamily="18" charset="0"/>
              <a:ea typeface="Calibri" panose="020F0502020204030204" pitchFamily="34" charset="0"/>
              <a:cs typeface="Arial" panose="020B0604020202020204" pitchFamily="34" charset="0"/>
            </a:rPr>
            <a:t>information from </a:t>
          </a:r>
          <a:r>
            <a:rPr lang="en-GB" sz="1100" b="1">
              <a:effectLst/>
              <a:latin typeface="Times New Roman" panose="02020603050405020304" pitchFamily="18" charset="0"/>
              <a:ea typeface="Calibri" panose="020F0502020204030204" pitchFamily="34" charset="0"/>
              <a:cs typeface="Arial" panose="020B0604020202020204" pitchFamily="34" charset="0"/>
            </a:rPr>
            <a:t>Input Data </a:t>
          </a:r>
          <a:r>
            <a:rPr lang="en-GB" sz="1100">
              <a:effectLst/>
              <a:latin typeface="Times New Roman" panose="02020603050405020304" pitchFamily="18" charset="0"/>
              <a:ea typeface="Calibri" panose="020F0502020204030204" pitchFamily="34" charset="0"/>
              <a:cs typeface="Arial" panose="020B0604020202020204" pitchFamily="34" charset="0"/>
            </a:rPr>
            <a:t>sections are used to calculate the relevant values for which are presented in the </a:t>
          </a:r>
          <a:r>
            <a:rPr lang="en-GB" sz="1100" b="1">
              <a:effectLst/>
              <a:latin typeface="Times New Roman" panose="02020603050405020304" pitchFamily="18" charset="0"/>
              <a:ea typeface="Calibri" panose="020F0502020204030204" pitchFamily="34" charset="0"/>
              <a:cs typeface="Arial" panose="020B0604020202020204" pitchFamily="34" charset="0"/>
            </a:rPr>
            <a:t>Calculations </a:t>
          </a:r>
          <a:r>
            <a:rPr lang="en-GB" sz="1100">
              <a:effectLst/>
              <a:latin typeface="Times New Roman" panose="02020603050405020304" pitchFamily="18" charset="0"/>
              <a:ea typeface="Calibri" panose="020F0502020204030204" pitchFamily="34" charset="0"/>
              <a:cs typeface="Arial" panose="020B0604020202020204" pitchFamily="34" charset="0"/>
            </a:rPr>
            <a:t>section.</a:t>
          </a:r>
        </a:p>
        <a:p>
          <a:pPr>
            <a:lnSpc>
              <a:spcPct val="150000"/>
            </a:lnSpc>
            <a:spcBef>
              <a:spcPts val="600"/>
            </a:spcBef>
            <a:spcAft>
              <a:spcPts val="600"/>
            </a:spcAft>
          </a:pPr>
          <a:r>
            <a:rPr lang="en-GB" sz="1400" b="1">
              <a:solidFill>
                <a:srgbClr val="00B050"/>
              </a:solidFill>
              <a:effectLst/>
              <a:latin typeface="Times New Roman" panose="02020603050405020304" pitchFamily="18" charset="0"/>
              <a:ea typeface="Calibri" panose="020F0502020204030204" pitchFamily="34" charset="0"/>
              <a:cs typeface="Arial" panose="020B0604020202020204" pitchFamily="34" charset="0"/>
            </a:rPr>
            <a:t>Results:</a:t>
          </a:r>
          <a:endParaRPr lang="en-GB" sz="1400">
            <a:solidFill>
              <a:srgbClr val="00B050"/>
            </a:solidFill>
            <a:effectLst/>
            <a:latin typeface="Times New Roman" panose="02020603050405020304" pitchFamily="18" charset="0"/>
            <a:ea typeface="Calibri" panose="020F0502020204030204" pitchFamily="34" charset="0"/>
            <a:cs typeface="Arial" panose="020B0604020202020204" pitchFamily="34" charset="0"/>
          </a:endParaRPr>
        </a:p>
        <a:p>
          <a:pPr>
            <a:lnSpc>
              <a:spcPct val="150000"/>
            </a:lnSpc>
            <a:spcBef>
              <a:spcPts val="600"/>
            </a:spcBef>
            <a:spcAft>
              <a:spcPts val="600"/>
            </a:spcAft>
          </a:pPr>
          <a:r>
            <a:rPr lang="en-GB" sz="1100" b="1">
              <a:effectLst/>
              <a:latin typeface="Times New Roman" panose="02020603050405020304" pitchFamily="18" charset="0"/>
              <a:ea typeface="Calibri" panose="020F0502020204030204" pitchFamily="34" charset="0"/>
              <a:cs typeface="Arial" panose="020B0604020202020204" pitchFamily="34" charset="0"/>
            </a:rPr>
            <a:t>Risk assessment results summary: </a:t>
          </a:r>
          <a:r>
            <a:rPr lang="en-GB" sz="1100">
              <a:effectLst/>
              <a:latin typeface="Times New Roman" panose="02020603050405020304" pitchFamily="18" charset="0"/>
              <a:ea typeface="Calibri" panose="020F0502020204030204" pitchFamily="34" charset="0"/>
              <a:cs typeface="Arial" panose="020B0604020202020204" pitchFamily="34" charset="0"/>
            </a:rPr>
            <a:t>summarise (crops water requirement, leaching demand, irrigation water quality, nutrient from wastewater, chemical fertiliser demands)</a:t>
          </a:r>
        </a:p>
        <a:p>
          <a:pPr>
            <a:lnSpc>
              <a:spcPct val="150000"/>
            </a:lnSpc>
            <a:spcBef>
              <a:spcPts val="600"/>
            </a:spcBef>
            <a:spcAft>
              <a:spcPts val="600"/>
            </a:spcAft>
          </a:pPr>
          <a:r>
            <a:rPr lang="en-GB" sz="1100" b="1">
              <a:effectLst/>
              <a:latin typeface="Times New Roman" panose="02020603050405020304" pitchFamily="18" charset="0"/>
              <a:ea typeface="Calibri" panose="020F0502020204030204" pitchFamily="34" charset="0"/>
              <a:cs typeface="Arial" panose="020B0604020202020204" pitchFamily="34" charset="0"/>
            </a:rPr>
            <a:t>Costs-benefits results</a:t>
          </a:r>
          <a:r>
            <a:rPr lang="en-GB" sz="1100">
              <a:effectLst/>
              <a:latin typeface="Times New Roman" panose="02020603050405020304" pitchFamily="18" charset="0"/>
              <a:ea typeface="Calibri" panose="020F0502020204030204" pitchFamily="34" charset="0"/>
              <a:cs typeface="Arial" panose="020B0604020202020204" pitchFamily="34" charset="0"/>
            </a:rPr>
            <a:t>: summarise costs and benefits results (such as crops yield, capital and operational costs, total costs and benefits, net benefits, benefit costs ratio and internal return rate) in addition to land use per crops, total land used, total volume of water supply.</a:t>
          </a:r>
        </a:p>
        <a:p>
          <a:pPr marL="0" marR="0" lvl="0" indent="0" defTabSz="914400" eaLnBrk="1" fontAlgn="auto" latinLnBrk="0" hangingPunct="1">
            <a:lnSpc>
              <a:spcPct val="150000"/>
            </a:lnSpc>
            <a:spcBef>
              <a:spcPts val="600"/>
            </a:spcBef>
            <a:spcAft>
              <a:spcPts val="600"/>
            </a:spcAft>
            <a:buClrTx/>
            <a:buSzTx/>
            <a:buFontTx/>
            <a:buNone/>
            <a:tabLst/>
            <a:defRPr/>
          </a:pPr>
          <a:r>
            <a:rPr kumimoji="0" lang="en-GB" sz="1100" b="1" i="0" u="none" strike="noStrike" kern="0" cap="none" spc="0" normalizeH="0" baseline="0" noProof="0">
              <a:ln>
                <a:noFill/>
              </a:ln>
              <a:solidFill>
                <a:srgbClr val="000000"/>
              </a:solidFill>
              <a:effectLst/>
              <a:uLnTx/>
              <a:uFillTx/>
              <a:latin typeface="Times New Roman" panose="02020603050405020304" pitchFamily="18" charset="0"/>
              <a:ea typeface="Calibri" panose="020F0502020204030204" pitchFamily="34" charset="0"/>
              <a:cs typeface="Arial" panose="020B0604020202020204" pitchFamily="34" charset="0"/>
            </a:rPr>
            <a:t>QMRA</a:t>
          </a:r>
          <a:r>
            <a:rPr kumimoji="0" lang="en-GB" sz="1100" b="0" i="0" u="none" strike="noStrike" kern="0" cap="none" spc="0" normalizeH="0" baseline="0" noProof="0">
              <a:ln>
                <a:noFill/>
              </a:ln>
              <a:solidFill>
                <a:srgbClr val="000000"/>
              </a:solidFill>
              <a:effectLst/>
              <a:uLnTx/>
              <a:uFillTx/>
              <a:latin typeface="Times New Roman" panose="02020603050405020304" pitchFamily="18" charset="0"/>
              <a:ea typeface="Calibri" panose="020F0502020204030204" pitchFamily="34" charset="0"/>
              <a:cs typeface="Arial" panose="020B0604020202020204" pitchFamily="34" charset="0"/>
            </a:rPr>
            <a:t>: provide the results of health risk assessment as total DALY Loss </a:t>
          </a:r>
        </a:p>
        <a:p>
          <a:pPr>
            <a:lnSpc>
              <a:spcPct val="150000"/>
            </a:lnSpc>
            <a:spcBef>
              <a:spcPts val="600"/>
            </a:spcBef>
            <a:spcAft>
              <a:spcPts val="600"/>
            </a:spcAft>
          </a:pPr>
          <a:r>
            <a:rPr lang="en-GB" sz="1100">
              <a:effectLst/>
              <a:latin typeface="Times New Roman" panose="02020603050405020304" pitchFamily="18" charset="0"/>
              <a:ea typeface="Calibri" panose="020F0502020204030204" pitchFamily="34" charset="0"/>
              <a:cs typeface="Arial" panose="020B0604020202020204" pitchFamily="34" charset="0"/>
            </a:rPr>
            <a:t> </a:t>
          </a:r>
        </a:p>
        <a:p>
          <a:pPr>
            <a:lnSpc>
              <a:spcPct val="150000"/>
            </a:lnSpc>
            <a:spcBef>
              <a:spcPts val="600"/>
            </a:spcBef>
            <a:spcAft>
              <a:spcPts val="600"/>
            </a:spcAft>
          </a:pPr>
          <a:r>
            <a:rPr lang="en-GB" sz="1100">
              <a:effectLst/>
              <a:latin typeface="Times New Roman" panose="02020603050405020304" pitchFamily="18" charset="0"/>
              <a:ea typeface="Calibri" panose="020F0502020204030204" pitchFamily="34" charset="0"/>
              <a:cs typeface="Arial" panose="020B0604020202020204" pitchFamily="34" charset="0"/>
            </a:rPr>
            <a:t> </a:t>
          </a:r>
        </a:p>
        <a:p>
          <a:endParaRPr lang="en-GB"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376141</xdr:colOff>
      <xdr:row>31</xdr:row>
      <xdr:rowOff>152701</xdr:rowOff>
    </xdr:from>
    <xdr:ext cx="4998681" cy="264560"/>
    <xdr:sp macro="" textlink="">
      <xdr:nvSpPr>
        <xdr:cNvPr id="3" name="TextBox 2">
          <a:extLst>
            <a:ext uri="{FF2B5EF4-FFF2-40B4-BE49-F238E27FC236}">
              <a16:creationId xmlns:a16="http://schemas.microsoft.com/office/drawing/2014/main" xmlns="" id="{00000000-0008-0000-0100-000003000000}"/>
            </a:ext>
          </a:extLst>
        </xdr:cNvPr>
        <xdr:cNvSpPr txBox="1"/>
      </xdr:nvSpPr>
      <xdr:spPr>
        <a:xfrm>
          <a:off x="19533054" y="6159283"/>
          <a:ext cx="4998681" cy="26456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 </a:t>
          </a:r>
          <a:r>
            <a:rPr lang="en-GB" sz="1100">
              <a:solidFill>
                <a:srgbClr val="C00000"/>
              </a:solidFill>
            </a:rPr>
            <a:t>legumes</a:t>
          </a:r>
          <a:r>
            <a:rPr lang="en-GB" sz="1100" baseline="0">
              <a:solidFill>
                <a:srgbClr val="C00000"/>
              </a:solidFill>
            </a:rPr>
            <a:t> such as alfalfa ,peas,boad beans  take most of her nitrogen from the air</a:t>
          </a:r>
          <a:endParaRPr lang="en-GB" sz="1100">
            <a:solidFill>
              <a:srgbClr val="C0000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940595</xdr:colOff>
      <xdr:row>31</xdr:row>
      <xdr:rowOff>11906</xdr:rowOff>
    </xdr:from>
    <xdr:to>
      <xdr:col>9</xdr:col>
      <xdr:colOff>642938</xdr:colOff>
      <xdr:row>52</xdr:row>
      <xdr:rowOff>95248</xdr:rowOff>
    </xdr:to>
    <xdr:graphicFrame macro="">
      <xdr:nvGraphicFramePr>
        <xdr:cNvPr id="10" name="Chart 9">
          <a:extLst>
            <a:ext uri="{FF2B5EF4-FFF2-40B4-BE49-F238E27FC236}">
              <a16:creationId xmlns:a16="http://schemas.microsoft.com/office/drawing/2014/main" xmlns=""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31</xdr:row>
      <xdr:rowOff>11907</xdr:rowOff>
    </xdr:from>
    <xdr:to>
      <xdr:col>4</xdr:col>
      <xdr:colOff>904876</xdr:colOff>
      <xdr:row>52</xdr:row>
      <xdr:rowOff>107156</xdr:rowOff>
    </xdr:to>
    <xdr:graphicFrame macro="">
      <xdr:nvGraphicFramePr>
        <xdr:cNvPr id="6" name="Chart 5">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514351</xdr:colOff>
      <xdr:row>11</xdr:row>
      <xdr:rowOff>95250</xdr:rowOff>
    </xdr:from>
    <xdr:to>
      <xdr:col>12</xdr:col>
      <xdr:colOff>226219</xdr:colOff>
      <xdr:row>33</xdr:row>
      <xdr:rowOff>83267</xdr:rowOff>
    </xdr:to>
    <xdr:graphicFrame macro="">
      <xdr:nvGraphicFramePr>
        <xdr:cNvPr id="5" name="Chart 4">
          <a:extLst>
            <a:ext uri="{FF2B5EF4-FFF2-40B4-BE49-F238E27FC236}">
              <a16:creationId xmlns:a16="http://schemas.microsoft.com/office/drawing/2014/main" xmlns="" id="{4CD8F9A8-8F44-4B3D-B491-00A3CA5C06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631825</xdr:colOff>
      <xdr:row>3</xdr:row>
      <xdr:rowOff>281781</xdr:rowOff>
    </xdr:from>
    <xdr:to>
      <xdr:col>13</xdr:col>
      <xdr:colOff>626534</xdr:colOff>
      <xdr:row>24</xdr:row>
      <xdr:rowOff>73025</xdr:rowOff>
    </xdr:to>
    <xdr:graphicFrame macro="">
      <xdr:nvGraphicFramePr>
        <xdr:cNvPr id="6" name="Chart 5">
          <a:extLst>
            <a:ext uri="{FF2B5EF4-FFF2-40B4-BE49-F238E27FC236}">
              <a16:creationId xmlns:a16="http://schemas.microsoft.com/office/drawing/2014/main" xmlns=""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362218</xdr:colOff>
      <xdr:row>32</xdr:row>
      <xdr:rowOff>76602</xdr:rowOff>
    </xdr:from>
    <xdr:to>
      <xdr:col>10</xdr:col>
      <xdr:colOff>312446</xdr:colOff>
      <xdr:row>50</xdr:row>
      <xdr:rowOff>124227</xdr:rowOff>
    </xdr:to>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553990</xdr:colOff>
      <xdr:row>58</xdr:row>
      <xdr:rowOff>18351</xdr:rowOff>
    </xdr:from>
    <xdr:to>
      <xdr:col>14</xdr:col>
      <xdr:colOff>706810</xdr:colOff>
      <xdr:row>85</xdr:row>
      <xdr:rowOff>39081</xdr:rowOff>
    </xdr:to>
    <xdr:graphicFrame macro="">
      <xdr:nvGraphicFramePr>
        <xdr:cNvPr id="4" name="Chart 3">
          <a:extLst>
            <a:ext uri="{FF2B5EF4-FFF2-40B4-BE49-F238E27FC236}">
              <a16:creationId xmlns:a16="http://schemas.microsoft.com/office/drawing/2014/main" xmlns=""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645601</xdr:colOff>
      <xdr:row>85</xdr:row>
      <xdr:rowOff>980</xdr:rowOff>
    </xdr:from>
    <xdr:to>
      <xdr:col>16</xdr:col>
      <xdr:colOff>567299</xdr:colOff>
      <xdr:row>108</xdr:row>
      <xdr:rowOff>91467</xdr:rowOff>
    </xdr:to>
    <xdr:graphicFrame macro="">
      <xdr:nvGraphicFramePr>
        <xdr:cNvPr id="5" name="Chart 4">
          <a:extLst>
            <a:ext uri="{FF2B5EF4-FFF2-40B4-BE49-F238E27FC236}">
              <a16:creationId xmlns:a16="http://schemas.microsoft.com/office/drawing/2014/main" xmlns=""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874058</xdr:colOff>
      <xdr:row>85</xdr:row>
      <xdr:rowOff>981</xdr:rowOff>
    </xdr:from>
    <xdr:to>
      <xdr:col>10</xdr:col>
      <xdr:colOff>667031</xdr:colOff>
      <xdr:row>108</xdr:row>
      <xdr:rowOff>29835</xdr:rowOff>
    </xdr:to>
    <xdr:graphicFrame macro="">
      <xdr:nvGraphicFramePr>
        <xdr:cNvPr id="6" name="Chart 5">
          <a:extLst>
            <a:ext uri="{FF2B5EF4-FFF2-40B4-BE49-F238E27FC236}">
              <a16:creationId xmlns:a16="http://schemas.microsoft.com/office/drawing/2014/main" xmlns=""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id="1" name="Table1" displayName="Table1" ref="A12:V32" totalsRowShown="0" headerRowDxfId="42" dataDxfId="41" tableBorderDxfId="40" headerRowCellStyle="Bad">
  <autoFilter ref="A12:V32"/>
  <tableColumns count="22">
    <tableColumn id="1" name="crops " dataDxfId="39" dataCellStyle="Good"/>
    <tableColumn id="3" name=" ETc m3/ha/year" dataDxfId="38" dataCellStyle="Good"/>
    <tableColumn id="4" name=" ETc m3/ha/season" dataDxfId="37" dataCellStyle="Good"/>
    <tableColumn id="5" name=" ETc m3/ha/season2" dataDxfId="36" dataCellStyle="Good"/>
    <tableColumn id="6" name=" (Kr) " dataDxfId="35"/>
    <tableColumn id="7" name="  minEce ds/m  100% yield                                       " dataDxfId="34"/>
    <tableColumn id="8" name=" maxEce ds/m   0% yield " dataDxfId="33"/>
    <tableColumn id="9" name="slop %" dataDxfId="32"/>
    <tableColumn id="10" name="Ece ds/m yield% 100" dataDxfId="31">
      <calculatedColumnFormula>((100-Variable!$B$7)/H13)+F13</calculatedColumnFormula>
    </tableColumn>
    <tableColumn id="11" name="N  kg/ton" dataDxfId="30"/>
    <tableColumn id="12" name="P2O5 kg/ton" dataDxfId="29"/>
    <tableColumn id="13" name="K 2Okg/ton" dataDxfId="28"/>
    <tableColumn id="14" name=" ton/ha" dataDxfId="27"/>
    <tableColumn id="2" name="yield " dataDxfId="26"/>
    <tableColumn id="15" name="unite " dataDxfId="25"/>
    <tableColumn id="16" name="price " dataDxfId="24"/>
    <tableColumn id="17" name="unit" dataDxfId="23"/>
    <tableColumn id="18" name="yield 2" dataDxfId="22"/>
    <tableColumn id="19" name="unite 3" dataDxfId="21"/>
    <tableColumn id="20" name="price US$" dataDxfId="20"/>
    <tableColumn id="21" name="unit4" dataDxfId="19"/>
    <tableColumn id="23" name="season per year" dataDxfId="1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
  <sheetViews>
    <sheetView tabSelected="1" zoomScaleNormal="100" workbookViewId="0">
      <selection activeCell="C43" sqref="C1:C1048576"/>
    </sheetView>
  </sheetViews>
  <sheetFormatPr defaultRowHeight="12.75" x14ac:dyDescent="0.2"/>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sheetPr>
  <dimension ref="A2:AG36"/>
  <sheetViews>
    <sheetView zoomScale="71" zoomScaleNormal="71" workbookViewId="0">
      <selection activeCell="K4" sqref="K4"/>
    </sheetView>
  </sheetViews>
  <sheetFormatPr defaultRowHeight="15" x14ac:dyDescent="0.25"/>
  <cols>
    <col min="1" max="1" width="22" style="227" customWidth="1"/>
    <col min="2" max="2" width="13.7109375" style="227" customWidth="1"/>
    <col min="3" max="3" width="12.5703125" style="227" customWidth="1"/>
    <col min="4" max="4" width="13.5703125" style="227" customWidth="1"/>
    <col min="5" max="6" width="12.5703125" style="227" customWidth="1"/>
    <col min="7" max="7" width="11.5703125" style="227" customWidth="1"/>
    <col min="8" max="8" width="12.85546875" style="227" customWidth="1"/>
    <col min="9" max="9" width="12.5703125" style="227" customWidth="1"/>
    <col min="10" max="10" width="14.85546875" style="227" customWidth="1"/>
    <col min="11" max="11" width="12.5703125" style="227" customWidth="1"/>
    <col min="12" max="12" width="15.5703125" style="227" customWidth="1"/>
    <col min="13" max="14" width="11.42578125" style="227" customWidth="1"/>
    <col min="15" max="15" width="12.42578125" style="227" customWidth="1"/>
    <col min="16" max="17" width="12" style="227" customWidth="1"/>
    <col min="18" max="18" width="12.140625" style="227" customWidth="1"/>
    <col min="19" max="19" width="14" style="227" customWidth="1"/>
    <col min="20" max="20" width="14.42578125" style="227" customWidth="1"/>
    <col min="21" max="21" width="11.28515625" style="227" customWidth="1"/>
    <col min="22" max="16384" width="9.140625" style="227"/>
  </cols>
  <sheetData>
    <row r="2" spans="1:33" ht="18.75" x14ac:dyDescent="0.3">
      <c r="D2" s="228" t="s">
        <v>234</v>
      </c>
      <c r="N2" s="228" t="s">
        <v>235</v>
      </c>
    </row>
    <row r="3" spans="1:33" x14ac:dyDescent="0.25">
      <c r="A3"/>
      <c r="B3"/>
      <c r="N3"/>
    </row>
    <row r="4" spans="1:33" ht="15.75" thickBot="1" x14ac:dyDescent="0.3">
      <c r="D4" s="227" t="s">
        <v>236</v>
      </c>
      <c r="N4" s="227" t="s">
        <v>237</v>
      </c>
    </row>
    <row r="5" spans="1:33" ht="105.75" thickBot="1" x14ac:dyDescent="0.3">
      <c r="A5" s="276"/>
      <c r="B5" s="237" t="s">
        <v>248</v>
      </c>
      <c r="C5" s="237" t="str">
        <f>inputdata!A39</f>
        <v xml:space="preserve">conventional activated sludge </v>
      </c>
      <c r="D5" s="237" t="str">
        <f>inputdata!$A40</f>
        <v>on site( Three-tank system )</v>
      </c>
      <c r="E5" s="237" t="str">
        <f>inputdata!A41</f>
        <v>on site(Three-tank system +sand Filter)</v>
      </c>
      <c r="F5" s="237" t="str">
        <f>inputdata!A42</f>
        <v>septic tank+   (WSP)</v>
      </c>
      <c r="G5" s="237" t="str">
        <f>inputdata!A43</f>
        <v>treatment plant  (WSP)</v>
      </c>
      <c r="H5" s="237" t="str">
        <f>inputdata!$A44</f>
        <v>treatment plant (Conventional activated sludge+ disinfection)</v>
      </c>
      <c r="I5" s="237" t="str">
        <f>inputdata!A45</f>
        <v>Activated sludge+ Biological Nitrogen Removal (MLE)+ disinfection</v>
      </c>
      <c r="J5" s="237" t="str">
        <f>inputdata!$A46</f>
        <v>Activated sludge+ Ultrfiltration+ reverse osmosis</v>
      </c>
      <c r="L5" s="229" t="s">
        <v>238</v>
      </c>
      <c r="M5" s="237" t="s">
        <v>248</v>
      </c>
      <c r="N5" s="237" t="str">
        <f>inputdata!A39</f>
        <v xml:space="preserve">conventional activated sludge </v>
      </c>
      <c r="O5" s="237" t="str">
        <f>inputdata!A40</f>
        <v>on site( Three-tank system )</v>
      </c>
      <c r="P5" s="237" t="str">
        <f>inputdata!A41</f>
        <v>on site(Three-tank system +sand Filter)</v>
      </c>
      <c r="Q5" s="237" t="str">
        <f>inputdata!A42</f>
        <v>septic tank+   (WSP)</v>
      </c>
      <c r="R5" s="237" t="str">
        <f>inputdata!A43</f>
        <v>treatment plant  (WSP)</v>
      </c>
      <c r="S5" s="237" t="str">
        <f>inputdata!A44</f>
        <v>treatment plant (Conventional activated sludge+ disinfection)</v>
      </c>
      <c r="T5" s="237" t="str">
        <f>inputdata!A45</f>
        <v>Activated sludge+ Biological Nitrogen Removal (MLE)+ disinfection</v>
      </c>
      <c r="U5" s="237" t="str">
        <f>inputdata!A46</f>
        <v>Activated sludge+ Ultrfiltration+ reverse osmosis</v>
      </c>
    </row>
    <row r="6" spans="1:33" ht="21.75" thickBot="1" x14ac:dyDescent="0.3">
      <c r="A6" s="240" t="s">
        <v>250</v>
      </c>
      <c r="B6" s="237"/>
      <c r="C6" s="237" t="str">
        <f>inputdata!B39</f>
        <v>T1</v>
      </c>
      <c r="D6" s="237" t="str">
        <f>inputdata!B40</f>
        <v>T2</v>
      </c>
      <c r="E6" s="237" t="str">
        <f>inputdata!B41</f>
        <v>T3</v>
      </c>
      <c r="F6" s="237" t="str">
        <f>inputdata!B42</f>
        <v>T4</v>
      </c>
      <c r="G6" s="237" t="str">
        <f>inputdata!B43</f>
        <v>T5</v>
      </c>
      <c r="H6" s="237" t="str">
        <f>inputdata!B44</f>
        <v>T6</v>
      </c>
      <c r="I6" s="237" t="str">
        <f>inputdata!B45</f>
        <v>T7</v>
      </c>
      <c r="J6" s="237" t="str">
        <f>inputdata!B46</f>
        <v>T8</v>
      </c>
      <c r="L6" s="277" t="s">
        <v>250</v>
      </c>
      <c r="M6" s="237"/>
      <c r="N6" s="237" t="str">
        <f>inputdata!B39</f>
        <v>T1</v>
      </c>
      <c r="O6" s="237" t="str">
        <f>inputdata!B40</f>
        <v>T2</v>
      </c>
      <c r="P6" s="237" t="str">
        <f>inputdata!B41</f>
        <v>T3</v>
      </c>
      <c r="Q6" s="237" t="str">
        <f>inputdata!B42</f>
        <v>T4</v>
      </c>
      <c r="R6" s="237" t="str">
        <f>inputdata!B43</f>
        <v>T5</v>
      </c>
      <c r="S6" s="237" t="str">
        <f>inputdata!B44</f>
        <v>T6</v>
      </c>
      <c r="T6" s="237" t="str">
        <f>inputdata!B45</f>
        <v>T7</v>
      </c>
      <c r="U6" s="237" t="str">
        <f>inputdata!B46</f>
        <v>T8</v>
      </c>
    </row>
    <row r="7" spans="1:33" ht="15.75" thickBot="1" x14ac:dyDescent="0.3">
      <c r="A7" s="241" t="str">
        <f>inputdata!I36</f>
        <v>Norovirus</v>
      </c>
      <c r="B7" s="243">
        <v>1</v>
      </c>
      <c r="C7" s="242">
        <f>INDEX(inputdata!$I$39:$J$46,MATCH(C6,inputdata!$B$39:$B$46,0),MATCH($A$7,inputdata!$I$36:$J$36,0))</f>
        <v>0.57999999999999996</v>
      </c>
      <c r="D7" s="242">
        <f>INDEX(inputdata!$I$39:$J$46,MATCH(D6,inputdata!$B$39:$B$46,0),MATCH($A$7,inputdata!$I$36:$J$36,0))</f>
        <v>0.57999999999999996</v>
      </c>
      <c r="E7" s="242">
        <f>INDEX(inputdata!$I$39:$J$46,MATCH(E6,inputdata!$B$39:$B$46,0),MATCH($A$7,inputdata!$I$36:$J$36,0))</f>
        <v>8.6E-3</v>
      </c>
      <c r="F7" s="242">
        <f>INDEX(inputdata!$I$39:$J$46,MATCH(F6,inputdata!$B$39:$B$46,0),MATCH($A$7,inputdata!$I$36:$J$36,0))</f>
        <v>8.5999999999999993E-2</v>
      </c>
      <c r="G7" s="242">
        <f>INDEX(inputdata!$I$39:$J$46,MATCH(G6,inputdata!$B$39:$B$46,0),MATCH($A$7,inputdata!$I$36:$J$36,0))</f>
        <v>8.5999999999999993E-2</v>
      </c>
      <c r="H7" s="242">
        <f>INDEX(inputdata!$I$39:$J$46,MATCH(H6,inputdata!$B$39:$B$46,0),MATCH($A$7,inputdata!$I$36:$J$36,0))</f>
        <v>8.6E-3</v>
      </c>
      <c r="I7" s="242">
        <f>INDEX(inputdata!$I$39:$J$46,MATCH(I6,inputdata!$B$39:$B$46,0),MATCH($A$7,inputdata!$I$36:$J$36,0))</f>
        <v>8.6E-3</v>
      </c>
      <c r="J7" s="242">
        <f>INDEX(inputdata!$I$39:$J$46,MATCH(J6,inputdata!$B$39:$B$46,0),MATCH($A$7,inputdata!$I$36:$J$36,0))</f>
        <v>8.6000000000000007E-6</v>
      </c>
      <c r="L7" s="244" t="str">
        <f>inputdata!K36</f>
        <v>Norovirus</v>
      </c>
      <c r="M7" s="278">
        <v>1</v>
      </c>
      <c r="N7" s="233">
        <f>INDEX(inputdata!$K$39:$L$46,MATCH(N$6,inputdata!$B$39:$B$46),MATCH(L10,inputdata!$I$36:$J$36,0))</f>
        <v>0.56000000000000005</v>
      </c>
      <c r="O7" s="233">
        <f>INDEX(inputdata!$K$39:$L$46,MATCH(O6,inputdata!$B$39:$B$46),MATCH($L$10,inputdata!$I$36:$J$36,0))</f>
        <v>0.56000000000000005</v>
      </c>
      <c r="P7" s="233">
        <f>INDEX(inputdata!$K$39:$L$46,MATCH(P6,inputdata!$B$39:$B$46),MATCH($L$10,inputdata!$I$36:$J$36,0))</f>
        <v>0.01</v>
      </c>
      <c r="Q7" s="233">
        <f>INDEX(inputdata!$K$39:$L$46,MATCH(Q6,inputdata!$B$39:$B$46),MATCH($L$10,inputdata!$I$36:$J$36,0))</f>
        <v>9.9000000000000005E-2</v>
      </c>
      <c r="R7" s="233">
        <f>INDEX(inputdata!$K$39:$L$46,MATCH(R6,inputdata!$B$39:$B$46),MATCH($L$10,inputdata!$I$36:$J$36,0))</f>
        <v>9.9000000000000005E-2</v>
      </c>
      <c r="S7" s="233">
        <f>INDEX(inputdata!$K$39:$L$46,MATCH(S6,inputdata!$B$39:$B$46),MATCH($L$10,inputdata!$I$36:$J$36,0))</f>
        <v>0.01</v>
      </c>
      <c r="T7" s="233">
        <f>INDEX(inputdata!$K$39:$L$46,MATCH(T6,inputdata!$B$39:$B$46),MATCH($L$10,inputdata!$I$36:$J$36,0))</f>
        <v>0.01</v>
      </c>
      <c r="U7" s="233">
        <f>INDEX(inputdata!$K$39:$L$46,MATCH(U6,inputdata!$B$39:$B$46),MATCH($L$10,inputdata!$I$36:$J$36,0))</f>
        <v>1.1E-5</v>
      </c>
    </row>
    <row r="8" spans="1:33" ht="15.75" thickBot="1" x14ac:dyDescent="0.3">
      <c r="A8" s="241" t="str">
        <f>inputdata!J36</f>
        <v>Ascaris</v>
      </c>
      <c r="B8" s="243">
        <v>1</v>
      </c>
      <c r="C8" s="242">
        <f>INDEX(inputdata!$I$39:$J$46,MATCH(C6,inputdata!$B$39:$B$46,0),MATCH($A$8,inputdata!$I$36:$J$36,0))</f>
        <v>2.1999999999999999E-2</v>
      </c>
      <c r="D8" s="242">
        <f>INDEX(inputdata!$I$39:$J$46,MATCH(D6,inputdata!$B$39:$B$46,0),MATCH($A$8,inputdata!$I$36:$J$36,0))</f>
        <v>2.1999999999999999E-2</v>
      </c>
      <c r="E8" s="242">
        <f>INDEX(inputdata!$I$39:$J$46,MATCH(E6,inputdata!$B$39:$B$46,0),MATCH($A$8,inputdata!$I$36:$J$36,0))</f>
        <v>2.3E-5</v>
      </c>
      <c r="F8" s="242">
        <f>INDEX(inputdata!$I$39:$J$46,MATCH(F6,inputdata!$B$39:$B$46,0),MATCH($A$8,inputdata!$I$36:$J$36,0))</f>
        <v>2.3E-3</v>
      </c>
      <c r="G8" s="242">
        <f>INDEX(inputdata!$I$39:$J$46,MATCH(G6,inputdata!$B$39:$B$46,0),MATCH($A$8,inputdata!$I$36:$J$36,0))</f>
        <v>2.3E-3</v>
      </c>
      <c r="H8" s="242">
        <f>INDEX(inputdata!$I$39:$J$46,MATCH(H6,inputdata!$B$39:$B$46,0),MATCH($A$8,inputdata!$I$36:$J$36,0))</f>
        <v>2.3E-3</v>
      </c>
      <c r="I8" s="242">
        <f>INDEX(inputdata!$I$39:$J$46,MATCH(I6,inputdata!$B$39:$B$46,0),MATCH($A$8,inputdata!$I$36:$J$36,0))</f>
        <v>2.3E-3</v>
      </c>
      <c r="J8" s="242">
        <f>INDEX(inputdata!$I$39:$J$46,MATCH(J6,inputdata!$B$39:$B$46,0),MATCH($A$8,inputdata!$I$36:$J$36,0))</f>
        <v>2.3E-5</v>
      </c>
      <c r="L8" s="244" t="str">
        <f>inputdata!L36</f>
        <v>Ascaris</v>
      </c>
      <c r="M8" s="233">
        <v>7.0999999999999994E-2</v>
      </c>
      <c r="N8" s="233">
        <f>INDEX(inputdata!$K$39:$L$46,MATCH(N6,inputdata!$B$39:$B$46),MATCH($L$11,inputdata!$I$36:$J$36,0))</f>
        <v>7.3000000000000001E-3</v>
      </c>
      <c r="O8" s="233">
        <f>INDEX(inputdata!$K$39:$L$46,MATCH(O6,inputdata!$B$39:$B$46),MATCH($L$11,inputdata!$I$36:$J$36,0))</f>
        <v>7.3000000000000001E-3</v>
      </c>
      <c r="P8" s="233">
        <f>INDEX(inputdata!$K$39:$L$46,MATCH(P6,inputdata!$B$39:$B$46),MATCH($L$11,inputdata!$I$36:$J$36,0))</f>
        <v>7.3999999999999996E-5</v>
      </c>
      <c r="Q8" s="233">
        <f>INDEX(inputdata!$K$39:$L$46,MATCH(Q6,inputdata!$B$39:$B$46),MATCH($L$11,inputdata!$I$36:$J$36,0))</f>
        <v>7.3999999999999999E-4</v>
      </c>
      <c r="R8" s="233">
        <f>INDEX(inputdata!$K$39:$L$46,MATCH(R6,inputdata!$B$39:$B$46),MATCH($L$11,inputdata!$I$36:$J$36,0))</f>
        <v>7.3999999999999999E-4</v>
      </c>
      <c r="S8" s="233">
        <f>INDEX(inputdata!$K$39:$L$46,MATCH(S6,inputdata!$B$39:$B$46),MATCH($L$11,inputdata!$I$36:$J$36,0))</f>
        <v>7.3999999999999999E-4</v>
      </c>
      <c r="T8" s="233">
        <f>INDEX(inputdata!$K$39:$L$46,MATCH(T6,inputdata!$B$39:$B$46),MATCH($L$11,inputdata!$I$36:$J$36,0))</f>
        <v>7.3999999999999999E-4</v>
      </c>
      <c r="U8" s="233">
        <f>INDEX(inputdata!$K$39:$L$46,MATCH(U6,inputdata!$B$39:$B$46),MATCH($L$11,inputdata!$I$36:$J$36,0))</f>
        <v>7.4000000000000001E-8</v>
      </c>
    </row>
    <row r="9" spans="1:33" ht="15.75" thickBot="1" x14ac:dyDescent="0.3">
      <c r="A9" s="495" t="s">
        <v>238</v>
      </c>
      <c r="B9" s="496"/>
      <c r="C9" s="496"/>
      <c r="D9" s="496"/>
      <c r="E9" s="496"/>
      <c r="F9" s="496"/>
      <c r="G9" s="496"/>
      <c r="H9" s="496"/>
      <c r="I9" s="496"/>
      <c r="J9" s="497"/>
      <c r="L9" s="495" t="s">
        <v>238</v>
      </c>
      <c r="M9" s="496"/>
      <c r="N9" s="496"/>
      <c r="O9" s="496"/>
      <c r="P9" s="496"/>
      <c r="Q9" s="496"/>
      <c r="R9" s="496"/>
      <c r="S9" s="496"/>
      <c r="T9" s="496"/>
      <c r="U9" s="497"/>
    </row>
    <row r="10" spans="1:33" ht="15.75" thickBot="1" x14ac:dyDescent="0.3">
      <c r="A10" s="230" t="str">
        <f>A7</f>
        <v>Norovirus</v>
      </c>
      <c r="B10" s="242">
        <f>Variable!$F$6*B7</f>
        <v>0.8</v>
      </c>
      <c r="C10" s="242">
        <f>Variable!$F$6*C7</f>
        <v>0.46399999999999997</v>
      </c>
      <c r="D10" s="242">
        <f>Variable!$F$6*D7</f>
        <v>0.46399999999999997</v>
      </c>
      <c r="E10" s="242">
        <f>Variable!$F$6*E7</f>
        <v>6.8800000000000007E-3</v>
      </c>
      <c r="F10" s="242">
        <f>Variable!$F$6*F7</f>
        <v>6.88E-2</v>
      </c>
      <c r="G10" s="242">
        <f>Variable!$F$6*G7</f>
        <v>6.88E-2</v>
      </c>
      <c r="H10" s="242">
        <f>Variable!$F$6*H7</f>
        <v>6.8800000000000007E-3</v>
      </c>
      <c r="I10" s="242">
        <f>Variable!$F$6*I7</f>
        <v>6.8800000000000007E-3</v>
      </c>
      <c r="J10" s="242">
        <f>Variable!$F$6*J7</f>
        <v>6.880000000000001E-6</v>
      </c>
      <c r="L10" s="232" t="s">
        <v>239</v>
      </c>
      <c r="M10" s="233">
        <f>Variable!$F$6*M7</f>
        <v>0.8</v>
      </c>
      <c r="N10" s="233">
        <f>Variable!$F$6*N7</f>
        <v>0.44800000000000006</v>
      </c>
      <c r="O10" s="233">
        <f>Variable!$F$6*O7</f>
        <v>0.44800000000000006</v>
      </c>
      <c r="P10" s="233">
        <f>Variable!$F$6*P7</f>
        <v>8.0000000000000002E-3</v>
      </c>
      <c r="Q10" s="233">
        <f>Variable!$F$6*Q7</f>
        <v>7.9200000000000007E-2</v>
      </c>
      <c r="R10" s="233">
        <f>Variable!$F$6*R7</f>
        <v>7.9200000000000007E-2</v>
      </c>
      <c r="S10" s="233">
        <f>Variable!$F$6*S7</f>
        <v>8.0000000000000002E-3</v>
      </c>
      <c r="T10" s="233">
        <f>Variable!$F$6*T7</f>
        <v>8.0000000000000002E-3</v>
      </c>
      <c r="U10" s="233">
        <f>Variable!$F$6*U7</f>
        <v>8.8000000000000004E-6</v>
      </c>
    </row>
    <row r="11" spans="1:33" ht="15.75" thickBot="1" x14ac:dyDescent="0.3">
      <c r="A11" s="230" t="str">
        <f>A8</f>
        <v>Ascaris</v>
      </c>
      <c r="B11" s="235">
        <f>Variable!$F$7*B8</f>
        <v>1</v>
      </c>
      <c r="C11" s="235">
        <f>Variable!$F$7*C8</f>
        <v>2.1999999999999999E-2</v>
      </c>
      <c r="D11" s="235">
        <f>Variable!$F$7*D8</f>
        <v>2.1999999999999999E-2</v>
      </c>
      <c r="E11" s="235">
        <f>Variable!$F$7*E8</f>
        <v>2.3E-5</v>
      </c>
      <c r="F11" s="235">
        <f>Variable!$F$7*F8</f>
        <v>2.3E-3</v>
      </c>
      <c r="G11" s="235">
        <f>Variable!$F$7*G8</f>
        <v>2.3E-3</v>
      </c>
      <c r="H11" s="235">
        <f>Variable!$F$7*H8</f>
        <v>2.3E-3</v>
      </c>
      <c r="I11" s="235">
        <f>Variable!$F$7*I8</f>
        <v>2.3E-3</v>
      </c>
      <c r="J11" s="235">
        <f>Variable!$F$7*J8</f>
        <v>2.3E-5</v>
      </c>
      <c r="L11" s="232" t="s">
        <v>240</v>
      </c>
      <c r="M11" s="233">
        <f>Variable!$F$7*M8</f>
        <v>7.0999999999999994E-2</v>
      </c>
      <c r="N11" s="233">
        <f>Variable!$F$7*N8</f>
        <v>7.3000000000000001E-3</v>
      </c>
      <c r="O11" s="233">
        <f>Variable!$F$7*O8</f>
        <v>7.3000000000000001E-3</v>
      </c>
      <c r="P11" s="233">
        <f>Variable!$F$7*P8</f>
        <v>7.3999999999999996E-5</v>
      </c>
      <c r="Q11" s="233">
        <f>Variable!$F$7*Q8</f>
        <v>7.3999999999999999E-4</v>
      </c>
      <c r="R11" s="233">
        <f>Variable!$F$7*R8</f>
        <v>7.3999999999999999E-4</v>
      </c>
      <c r="S11" s="233">
        <f>Variable!$F$7*S8</f>
        <v>7.3999999999999999E-4</v>
      </c>
      <c r="T11" s="233">
        <f>Variable!$F$7*T8</f>
        <v>7.3999999999999999E-4</v>
      </c>
      <c r="U11" s="233">
        <f>Variable!$F$7*U8</f>
        <v>7.4000000000000001E-8</v>
      </c>
    </row>
    <row r="12" spans="1:33" ht="26.25" customHeight="1" thickBot="1" x14ac:dyDescent="0.3">
      <c r="A12" s="459" t="s">
        <v>241</v>
      </c>
      <c r="B12" s="459"/>
      <c r="C12" s="459"/>
      <c r="D12" s="459"/>
      <c r="E12" s="459"/>
      <c r="F12" s="459"/>
      <c r="G12" s="459"/>
      <c r="H12" s="459"/>
      <c r="I12" s="459"/>
      <c r="J12" s="459"/>
      <c r="L12" s="498" t="s">
        <v>241</v>
      </c>
      <c r="M12" s="499"/>
      <c r="N12" s="499"/>
      <c r="O12" s="499"/>
      <c r="P12" s="499"/>
      <c r="Q12" s="499"/>
      <c r="R12" s="499"/>
      <c r="S12" s="499"/>
      <c r="T12" s="499"/>
      <c r="U12" s="500"/>
      <c r="AG12"/>
    </row>
    <row r="13" spans="1:33" ht="15.75" thickBot="1" x14ac:dyDescent="0.3">
      <c r="A13" s="232" t="str">
        <f>A7</f>
        <v>Norovirus</v>
      </c>
      <c r="B13" s="290">
        <f>B10*inputdata!$E$3*Variable!$E$4</f>
        <v>120000</v>
      </c>
      <c r="C13" s="290">
        <f>C10*inputdata!$E$3*Variable!$E$4</f>
        <v>69599.999999999985</v>
      </c>
      <c r="D13" s="290">
        <f>D10*inputdata!$E$3*Variable!$E$4</f>
        <v>69599.999999999985</v>
      </c>
      <c r="E13" s="290">
        <f>E10*inputdata!$E$3*Variable!$E$4</f>
        <v>1032</v>
      </c>
      <c r="F13" s="290">
        <f>F10*inputdata!$E$3*Variable!$E$4</f>
        <v>10320</v>
      </c>
      <c r="G13" s="290">
        <f>G10*inputdata!$E$3*Variable!$E$4</f>
        <v>10320</v>
      </c>
      <c r="H13" s="290">
        <f>H10*inputdata!$E$3*Variable!$E$4</f>
        <v>1032</v>
      </c>
      <c r="I13" s="290">
        <f>I10*inputdata!$E$3*Variable!$E$4</f>
        <v>1032</v>
      </c>
      <c r="J13" s="290">
        <f>J10*inputdata!$E$3*Variable!$E$4</f>
        <v>1.032</v>
      </c>
      <c r="L13" s="232" t="s">
        <v>239</v>
      </c>
      <c r="M13" s="290">
        <f>M10*inputdata!$E$2</f>
        <v>2182.4</v>
      </c>
      <c r="N13" s="290">
        <f>N10*inputdata!$E$2</f>
        <v>1222.1440000000002</v>
      </c>
      <c r="O13" s="290">
        <f>O10*inputdata!$E$2</f>
        <v>1222.1440000000002</v>
      </c>
      <c r="P13" s="290">
        <f>P10*inputdata!$E$2</f>
        <v>21.824000000000002</v>
      </c>
      <c r="Q13" s="290">
        <f>Q10*inputdata!$E$2</f>
        <v>216.05760000000001</v>
      </c>
      <c r="R13" s="290">
        <f>R10*inputdata!$E$2</f>
        <v>216.05760000000001</v>
      </c>
      <c r="S13" s="290">
        <f>S10*inputdata!$E$2</f>
        <v>21.824000000000002</v>
      </c>
      <c r="T13" s="290">
        <f>T10*inputdata!$E$2</f>
        <v>21.824000000000002</v>
      </c>
      <c r="U13" s="290">
        <f>U10*inputdata!$E$2</f>
        <v>2.4006400000000001E-2</v>
      </c>
      <c r="AA13"/>
      <c r="AB13"/>
      <c r="AC13"/>
    </row>
    <row r="14" spans="1:33" ht="15.75" thickBot="1" x14ac:dyDescent="0.3">
      <c r="A14" s="232" t="str">
        <f>A8</f>
        <v>Ascaris</v>
      </c>
      <c r="B14" s="290">
        <f>B11*inputdata!$E$3*Variable!$E$4</f>
        <v>150000</v>
      </c>
      <c r="C14" s="290">
        <f>C11*inputdata!$E$3*Variable!$E$4</f>
        <v>3300</v>
      </c>
      <c r="D14" s="290">
        <f>D11*inputdata!$E$3*Variable!$E$4</f>
        <v>3300</v>
      </c>
      <c r="E14" s="290">
        <f>E11*inputdata!$E$3*Variable!$E$4</f>
        <v>3.4499999999999997</v>
      </c>
      <c r="F14" s="290">
        <f>F11*inputdata!$E$3*Variable!$E$4</f>
        <v>345</v>
      </c>
      <c r="G14" s="290">
        <f>G11*inputdata!$E$3*Variable!$E$4</f>
        <v>345</v>
      </c>
      <c r="H14" s="290">
        <f>H11*inputdata!$E$3*Variable!$E$4</f>
        <v>345</v>
      </c>
      <c r="I14" s="290">
        <f>I11*inputdata!$E$3*Variable!$E$4</f>
        <v>345</v>
      </c>
      <c r="J14" s="290">
        <f>J11*inputdata!$E$3*Variable!$E$4</f>
        <v>3.4499999999999997</v>
      </c>
      <c r="L14" s="232" t="s">
        <v>240</v>
      </c>
      <c r="M14" s="290">
        <f>M11*inputdata!$E$2</f>
        <v>193.68799999999999</v>
      </c>
      <c r="N14" s="290">
        <f>N11*inputdata!$E$2</f>
        <v>19.914400000000001</v>
      </c>
      <c r="O14" s="290">
        <f>O11*inputdata!$E$2</f>
        <v>19.914400000000001</v>
      </c>
      <c r="P14" s="290">
        <f>P11*inputdata!$E$2</f>
        <v>0.201872</v>
      </c>
      <c r="Q14" s="290">
        <f>Q11*inputdata!$E$2</f>
        <v>2.0187200000000001</v>
      </c>
      <c r="R14" s="290">
        <f>R11*inputdata!$E$2</f>
        <v>2.0187200000000001</v>
      </c>
      <c r="S14" s="290">
        <f>S11*inputdata!$E$2</f>
        <v>2.0187200000000001</v>
      </c>
      <c r="T14" s="290">
        <f>T11*inputdata!$E$2</f>
        <v>2.0187200000000001</v>
      </c>
      <c r="U14" s="290">
        <f>U11*inputdata!$E$2</f>
        <v>2.0187199999999999E-4</v>
      </c>
    </row>
    <row r="15" spans="1:33" ht="15.75" thickBot="1" x14ac:dyDescent="0.3">
      <c r="A15" s="231" t="s">
        <v>242</v>
      </c>
      <c r="B15" s="290">
        <f t="shared" ref="B15:J15" si="0">B13+B14</f>
        <v>270000</v>
      </c>
      <c r="C15" s="290">
        <f t="shared" si="0"/>
        <v>72899.999999999985</v>
      </c>
      <c r="D15" s="290">
        <f t="shared" si="0"/>
        <v>72899.999999999985</v>
      </c>
      <c r="E15" s="290">
        <f t="shared" si="0"/>
        <v>1035.45</v>
      </c>
      <c r="F15" s="290">
        <f t="shared" si="0"/>
        <v>10665</v>
      </c>
      <c r="G15" s="290">
        <f t="shared" si="0"/>
        <v>10665</v>
      </c>
      <c r="H15" s="290">
        <f t="shared" si="0"/>
        <v>1377</v>
      </c>
      <c r="I15" s="290">
        <f t="shared" si="0"/>
        <v>1377</v>
      </c>
      <c r="J15" s="290">
        <f t="shared" si="0"/>
        <v>4.4819999999999993</v>
      </c>
      <c r="L15" s="231" t="s">
        <v>242</v>
      </c>
      <c r="M15" s="290">
        <f t="shared" ref="M15:U15" si="1">M13+M14</f>
        <v>2376.0880000000002</v>
      </c>
      <c r="N15" s="290">
        <f t="shared" si="1"/>
        <v>1242.0584000000003</v>
      </c>
      <c r="O15" s="290">
        <f t="shared" si="1"/>
        <v>1242.0584000000003</v>
      </c>
      <c r="P15" s="290">
        <f t="shared" si="1"/>
        <v>22.025872000000003</v>
      </c>
      <c r="Q15" s="290">
        <f t="shared" ref="Q15" si="2">Q13+Q14</f>
        <v>218.07632000000001</v>
      </c>
      <c r="R15" s="290">
        <f t="shared" si="1"/>
        <v>218.07632000000001</v>
      </c>
      <c r="S15" s="290">
        <f t="shared" si="1"/>
        <v>23.84272</v>
      </c>
      <c r="T15" s="290">
        <f t="shared" si="1"/>
        <v>23.84272</v>
      </c>
      <c r="U15" s="290">
        <f t="shared" si="1"/>
        <v>2.4208271999999999E-2</v>
      </c>
    </row>
    <row r="16" spans="1:33" ht="15.75" thickBot="1" x14ac:dyDescent="0.3">
      <c r="A16" s="231" t="s">
        <v>243</v>
      </c>
      <c r="B16" s="291">
        <v>0</v>
      </c>
      <c r="C16" s="291">
        <f t="shared" ref="C16:J16" si="3">($B$15-C15)/$B$15</f>
        <v>0.73</v>
      </c>
      <c r="D16" s="291">
        <f t="shared" si="3"/>
        <v>0.73</v>
      </c>
      <c r="E16" s="291">
        <f t="shared" si="3"/>
        <v>0.99616499999999997</v>
      </c>
      <c r="F16" s="291">
        <f t="shared" si="3"/>
        <v>0.96050000000000002</v>
      </c>
      <c r="G16" s="291">
        <f t="shared" si="3"/>
        <v>0.96050000000000002</v>
      </c>
      <c r="H16" s="291">
        <f t="shared" si="3"/>
        <v>0.99490000000000001</v>
      </c>
      <c r="I16" s="291">
        <f t="shared" si="3"/>
        <v>0.99490000000000001</v>
      </c>
      <c r="J16" s="291">
        <f t="shared" si="3"/>
        <v>0.99998339999999997</v>
      </c>
      <c r="L16" s="231" t="s">
        <v>243</v>
      </c>
      <c r="M16" s="291">
        <f t="shared" ref="M16:U16" si="4">($M$15-M15)/$M$15</f>
        <v>0</v>
      </c>
      <c r="N16" s="291">
        <f t="shared" si="4"/>
        <v>0.47726750861079209</v>
      </c>
      <c r="O16" s="291">
        <f t="shared" si="4"/>
        <v>0.47726750861079209</v>
      </c>
      <c r="P16" s="291">
        <f t="shared" si="4"/>
        <v>0.99073019517795635</v>
      </c>
      <c r="Q16" s="291">
        <f t="shared" ref="Q16" si="5">($M$15-Q15)/$M$15</f>
        <v>0.90822043628013771</v>
      </c>
      <c r="R16" s="291">
        <f t="shared" si="4"/>
        <v>0.90822043628013771</v>
      </c>
      <c r="S16" s="291">
        <f t="shared" si="4"/>
        <v>0.98996555683122844</v>
      </c>
      <c r="T16" s="291">
        <f t="shared" si="4"/>
        <v>0.98996555683122844</v>
      </c>
      <c r="U16" s="291">
        <f t="shared" si="4"/>
        <v>0.99998981171067736</v>
      </c>
    </row>
    <row r="17" spans="1:21" ht="26.25" customHeight="1" thickBot="1" x14ac:dyDescent="0.3">
      <c r="A17" s="459" t="s">
        <v>244</v>
      </c>
      <c r="B17" s="459"/>
      <c r="C17" s="459"/>
      <c r="D17" s="459"/>
      <c r="E17" s="459"/>
      <c r="F17" s="459"/>
      <c r="G17" s="459"/>
      <c r="H17" s="459"/>
      <c r="I17" s="459"/>
      <c r="J17" s="459"/>
      <c r="L17" s="459" t="s">
        <v>244</v>
      </c>
      <c r="M17" s="459"/>
      <c r="N17" s="459"/>
      <c r="O17" s="459"/>
      <c r="P17" s="459"/>
      <c r="Q17" s="459"/>
      <c r="R17" s="459"/>
      <c r="S17" s="459"/>
      <c r="T17" s="459"/>
      <c r="U17" s="459"/>
    </row>
    <row r="18" spans="1:21" ht="15.75" thickBot="1" x14ac:dyDescent="0.3">
      <c r="A18" s="232" t="s">
        <v>239</v>
      </c>
      <c r="B18" s="290">
        <f>B13*Variable!$E$6</f>
        <v>1440</v>
      </c>
      <c r="C18" s="290">
        <f>C13*Variable!$E$6</f>
        <v>835.19999999999982</v>
      </c>
      <c r="D18" s="290">
        <f>D13*Variable!$E$6</f>
        <v>835.19999999999982</v>
      </c>
      <c r="E18" s="290">
        <f>E13*Variable!$E$6</f>
        <v>12.384</v>
      </c>
      <c r="F18" s="290">
        <f>F13*Variable!$E$6</f>
        <v>123.84</v>
      </c>
      <c r="G18" s="290">
        <f>G13*Variable!$E$6</f>
        <v>123.84</v>
      </c>
      <c r="H18" s="290">
        <f>H13*Variable!$E$6</f>
        <v>12.384</v>
      </c>
      <c r="I18" s="290">
        <f>I13*Variable!$E$6</f>
        <v>12.384</v>
      </c>
      <c r="J18" s="290">
        <f>J13*Variable!$E$6</f>
        <v>1.2384000000000001E-2</v>
      </c>
      <c r="L18" s="232" t="s">
        <v>239</v>
      </c>
      <c r="M18" s="290">
        <f>M13*Variable!$E$6</f>
        <v>26.188800000000001</v>
      </c>
      <c r="N18" s="290">
        <f>N13*Variable!$E$6</f>
        <v>14.665728000000003</v>
      </c>
      <c r="O18" s="290">
        <f>O13*Variable!$E$6</f>
        <v>14.665728000000003</v>
      </c>
      <c r="P18" s="290">
        <f>P13*Variable!$E$6</f>
        <v>0.26188800000000001</v>
      </c>
      <c r="Q18" s="290">
        <f>Q13*Variable!$E$6</f>
        <v>2.5926912</v>
      </c>
      <c r="R18" s="290">
        <f>R13*Variable!$E$6</f>
        <v>2.5926912</v>
      </c>
      <c r="S18" s="290">
        <f>S13*Variable!$E$6</f>
        <v>0.26188800000000001</v>
      </c>
      <c r="T18" s="290">
        <f>T13*Variable!$E$6</f>
        <v>0.26188800000000001</v>
      </c>
      <c r="U18" s="292">
        <f>U13*Variable!$E$6</f>
        <v>2.8807680000000001E-4</v>
      </c>
    </row>
    <row r="19" spans="1:21" ht="15.75" thickBot="1" x14ac:dyDescent="0.3">
      <c r="A19" s="232" t="s">
        <v>240</v>
      </c>
      <c r="B19" s="290">
        <f>B14*Variable!$E$7</f>
        <v>8100</v>
      </c>
      <c r="C19" s="290">
        <f>C14*Variable!$E$7</f>
        <v>178.2</v>
      </c>
      <c r="D19" s="290">
        <f>D14*Variable!$E$7</f>
        <v>178.2</v>
      </c>
      <c r="E19" s="290">
        <f>E14*Variable!$E$7</f>
        <v>0.18629999999999999</v>
      </c>
      <c r="F19" s="290">
        <f>F14*Variable!$E$7</f>
        <v>18.63</v>
      </c>
      <c r="G19" s="290">
        <f>G14*Variable!$E$7</f>
        <v>18.63</v>
      </c>
      <c r="H19" s="290">
        <f>H14*Variable!$E$7</f>
        <v>18.63</v>
      </c>
      <c r="I19" s="290">
        <f>I14*Variable!$E$7</f>
        <v>18.63</v>
      </c>
      <c r="J19" s="290">
        <f>J14*Variable!$E$7</f>
        <v>0.18629999999999999</v>
      </c>
      <c r="L19" s="232" t="s">
        <v>240</v>
      </c>
      <c r="M19" s="290">
        <f>M14*Variable!$E$7</f>
        <v>10.459152</v>
      </c>
      <c r="N19" s="290">
        <f>N14*Variable!$E$7</f>
        <v>1.0753775999999999</v>
      </c>
      <c r="O19" s="290">
        <f>O14*Variable!$E$7</f>
        <v>1.0753775999999999</v>
      </c>
      <c r="P19" s="290">
        <f>P14*Variable!$E$7</f>
        <v>1.0901088E-2</v>
      </c>
      <c r="Q19" s="290">
        <f>Q14*Variable!$E$7</f>
        <v>0.10901088</v>
      </c>
      <c r="R19" s="290">
        <f>R14*Variable!$E$7</f>
        <v>0.10901088</v>
      </c>
      <c r="S19" s="290">
        <f>S14*Variable!$E$7</f>
        <v>0.10901088</v>
      </c>
      <c r="T19" s="290">
        <f>T14*Variable!$E$7</f>
        <v>0.10901088</v>
      </c>
      <c r="U19" s="292">
        <f>U14*Variable!$E$6</f>
        <v>2.422464E-6</v>
      </c>
    </row>
    <row r="20" spans="1:21" ht="15.75" thickBot="1" x14ac:dyDescent="0.3">
      <c r="A20" s="231" t="s">
        <v>242</v>
      </c>
      <c r="B20" s="290">
        <f t="shared" ref="B20:J20" si="6">B18+B19</f>
        <v>9540</v>
      </c>
      <c r="C20" s="290">
        <f t="shared" si="6"/>
        <v>1013.3999999999999</v>
      </c>
      <c r="D20" s="290">
        <f t="shared" si="6"/>
        <v>1013.3999999999999</v>
      </c>
      <c r="E20" s="290">
        <f t="shared" si="6"/>
        <v>12.5703</v>
      </c>
      <c r="F20" s="290">
        <f t="shared" ref="F20" si="7">F18+F19</f>
        <v>142.47</v>
      </c>
      <c r="G20" s="290">
        <f t="shared" si="6"/>
        <v>142.47</v>
      </c>
      <c r="H20" s="290">
        <f t="shared" si="6"/>
        <v>31.013999999999999</v>
      </c>
      <c r="I20" s="290">
        <f t="shared" si="6"/>
        <v>31.013999999999999</v>
      </c>
      <c r="J20" s="354">
        <f t="shared" si="6"/>
        <v>0.198684</v>
      </c>
      <c r="L20" s="231" t="s">
        <v>242</v>
      </c>
      <c r="M20" s="290">
        <f t="shared" ref="M20:T20" si="8">M18+M19</f>
        <v>36.647952000000004</v>
      </c>
      <c r="N20" s="290">
        <f t="shared" si="8"/>
        <v>15.741105600000003</v>
      </c>
      <c r="O20" s="290">
        <f t="shared" si="8"/>
        <v>15.741105600000003</v>
      </c>
      <c r="P20" s="290">
        <f t="shared" si="8"/>
        <v>0.27278908800000001</v>
      </c>
      <c r="Q20" s="290">
        <f t="shared" ref="Q20" si="9">Q18+Q19</f>
        <v>2.70170208</v>
      </c>
      <c r="R20" s="290">
        <f t="shared" si="8"/>
        <v>2.70170208</v>
      </c>
      <c r="S20" s="290">
        <f t="shared" si="8"/>
        <v>0.37089888000000004</v>
      </c>
      <c r="T20" s="290">
        <f t="shared" si="8"/>
        <v>0.37089888000000004</v>
      </c>
      <c r="U20" s="292">
        <f>U15*Variable!$E$6</f>
        <v>2.9049926399999997E-4</v>
      </c>
    </row>
    <row r="21" spans="1:21" ht="15.75" thickBot="1" x14ac:dyDescent="0.3">
      <c r="A21" s="231" t="s">
        <v>243</v>
      </c>
      <c r="B21" s="293">
        <v>0</v>
      </c>
      <c r="C21" s="293">
        <f t="shared" ref="C21:J21" si="10">($B$20-C20)/$B$20</f>
        <v>0.89377358490566039</v>
      </c>
      <c r="D21" s="293">
        <f t="shared" si="10"/>
        <v>0.89377358490566039</v>
      </c>
      <c r="E21" s="293">
        <f t="shared" si="10"/>
        <v>0.99868235849056608</v>
      </c>
      <c r="F21" s="293">
        <f t="shared" ref="F21" si="11">($B$20-F20)/$B$20</f>
        <v>0.98506603773584911</v>
      </c>
      <c r="G21" s="293">
        <f t="shared" si="10"/>
        <v>0.98506603773584911</v>
      </c>
      <c r="H21" s="293">
        <f t="shared" si="10"/>
        <v>0.99674905660377366</v>
      </c>
      <c r="I21" s="293">
        <f t="shared" si="10"/>
        <v>0.99674905660377366</v>
      </c>
      <c r="J21" s="293">
        <f t="shared" si="10"/>
        <v>0.99997917358490562</v>
      </c>
      <c r="L21" s="289" t="s">
        <v>243</v>
      </c>
      <c r="M21" s="283">
        <f t="shared" ref="M21:U21" si="12">($M$20-M20)/$M$20</f>
        <v>0</v>
      </c>
      <c r="N21" s="284">
        <f t="shared" si="12"/>
        <v>0.57047789191603382</v>
      </c>
      <c r="O21" s="284">
        <f t="shared" si="12"/>
        <v>0.57047789191603382</v>
      </c>
      <c r="P21" s="284">
        <f t="shared" si="12"/>
        <v>0.99255649843680205</v>
      </c>
      <c r="Q21" s="284">
        <f t="shared" ref="Q21" si="13">($M$20-Q20)/$M$20</f>
        <v>0.92627958910227792</v>
      </c>
      <c r="R21" s="284">
        <f t="shared" si="12"/>
        <v>0.92627958910227792</v>
      </c>
      <c r="S21" s="284">
        <f t="shared" si="12"/>
        <v>0.98987941045109429</v>
      </c>
      <c r="T21" s="284">
        <f t="shared" si="12"/>
        <v>0.98987941045109429</v>
      </c>
      <c r="U21" s="285">
        <f t="shared" si="12"/>
        <v>0.99999207324698536</v>
      </c>
    </row>
    <row r="23" spans="1:21" x14ac:dyDescent="0.25">
      <c r="K23"/>
      <c r="O23"/>
      <c r="P23"/>
      <c r="Q23"/>
      <c r="R23"/>
      <c r="S23"/>
    </row>
    <row r="24" spans="1:21" x14ac:dyDescent="0.25">
      <c r="K24"/>
      <c r="O24"/>
      <c r="P24"/>
      <c r="Q24"/>
      <c r="R24"/>
      <c r="S24"/>
    </row>
    <row r="25" spans="1:21" x14ac:dyDescent="0.25">
      <c r="K25"/>
      <c r="L25"/>
      <c r="M25"/>
      <c r="N25"/>
      <c r="O25"/>
      <c r="P25"/>
      <c r="Q25"/>
      <c r="R25"/>
      <c r="S25"/>
      <c r="T25"/>
      <c r="U25"/>
    </row>
    <row r="26" spans="1:21" x14ac:dyDescent="0.25">
      <c r="K26"/>
      <c r="L26"/>
      <c r="M26"/>
      <c r="N26"/>
      <c r="O26"/>
      <c r="P26"/>
      <c r="Q26"/>
      <c r="R26"/>
      <c r="S26"/>
      <c r="T26"/>
      <c r="U26"/>
    </row>
    <row r="27" spans="1:21" x14ac:dyDescent="0.25">
      <c r="K27"/>
      <c r="L27"/>
      <c r="M27"/>
      <c r="N27"/>
      <c r="O27"/>
      <c r="P27"/>
      <c r="Q27"/>
      <c r="R27"/>
      <c r="S27"/>
      <c r="T27"/>
      <c r="U27"/>
    </row>
    <row r="28" spans="1:21" x14ac:dyDescent="0.25">
      <c r="K28"/>
      <c r="O28"/>
      <c r="P28"/>
      <c r="Q28"/>
      <c r="R28"/>
      <c r="S28"/>
    </row>
    <row r="29" spans="1:21" x14ac:dyDescent="0.25">
      <c r="K29"/>
      <c r="O29"/>
      <c r="P29"/>
      <c r="Q29"/>
      <c r="R29"/>
      <c r="S29"/>
    </row>
    <row r="30" spans="1:21" x14ac:dyDescent="0.25">
      <c r="K30"/>
      <c r="O30"/>
      <c r="P30"/>
      <c r="Q30"/>
      <c r="R30"/>
      <c r="S30"/>
    </row>
    <row r="31" spans="1:21" x14ac:dyDescent="0.25">
      <c r="K31"/>
      <c r="O31"/>
      <c r="P31"/>
      <c r="Q31"/>
      <c r="R31"/>
      <c r="S31"/>
    </row>
    <row r="32" spans="1:21" x14ac:dyDescent="0.25">
      <c r="K32"/>
      <c r="O32"/>
      <c r="P32"/>
      <c r="Q32"/>
      <c r="R32"/>
      <c r="S32"/>
    </row>
    <row r="33" spans="11:19" x14ac:dyDescent="0.25">
      <c r="K33"/>
      <c r="O33"/>
      <c r="P33"/>
      <c r="Q33"/>
      <c r="R33"/>
      <c r="S33"/>
    </row>
    <row r="34" spans="11:19" x14ac:dyDescent="0.25">
      <c r="K34"/>
      <c r="L34"/>
      <c r="O34"/>
      <c r="P34"/>
      <c r="Q34"/>
      <c r="R34"/>
      <c r="S34"/>
    </row>
    <row r="35" spans="11:19" x14ac:dyDescent="0.25">
      <c r="K35"/>
      <c r="L35"/>
      <c r="M35"/>
      <c r="N35"/>
      <c r="O35"/>
      <c r="P35"/>
      <c r="Q35"/>
      <c r="R35"/>
      <c r="S35"/>
    </row>
    <row r="36" spans="11:19" x14ac:dyDescent="0.25">
      <c r="K36"/>
      <c r="L36"/>
      <c r="M36"/>
      <c r="N36"/>
      <c r="O36"/>
      <c r="P36"/>
      <c r="Q36"/>
      <c r="R36"/>
      <c r="S36"/>
    </row>
  </sheetData>
  <mergeCells count="6">
    <mergeCell ref="L9:U9"/>
    <mergeCell ref="L12:U12"/>
    <mergeCell ref="L17:U17"/>
    <mergeCell ref="A9:J9"/>
    <mergeCell ref="A12:J12"/>
    <mergeCell ref="A17:J17"/>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T60"/>
  <sheetViews>
    <sheetView topLeftCell="D1" zoomScale="80" zoomScaleNormal="80" workbookViewId="0">
      <selection activeCell="P3" sqref="P3"/>
    </sheetView>
  </sheetViews>
  <sheetFormatPr defaultRowHeight="12.75" x14ac:dyDescent="0.2"/>
  <cols>
    <col min="1" max="1" width="22.140625" customWidth="1"/>
    <col min="2" max="2" width="14.85546875" customWidth="1"/>
    <col min="3" max="3" width="18" customWidth="1"/>
    <col min="4" max="4" width="17.140625" customWidth="1"/>
    <col min="5" max="5" width="16.85546875" customWidth="1"/>
    <col min="6" max="6" width="13.85546875" customWidth="1"/>
    <col min="7" max="7" width="12.140625" customWidth="1"/>
    <col min="8" max="8" width="11.42578125" bestFit="1" customWidth="1"/>
    <col min="9" max="9" width="16.7109375" customWidth="1"/>
    <col min="10" max="10" width="17.7109375" bestFit="1" customWidth="1"/>
    <col min="11" max="11" width="18.7109375" customWidth="1"/>
    <col min="12" max="12" width="13.42578125" customWidth="1"/>
    <col min="13" max="13" width="19" customWidth="1"/>
    <col min="14" max="14" width="17.7109375" bestFit="1" customWidth="1"/>
    <col min="15" max="15" width="17.85546875" customWidth="1"/>
    <col min="16" max="16" width="16.140625" customWidth="1"/>
    <col min="17" max="17" width="15.7109375" customWidth="1"/>
    <col min="18" max="18" width="17" customWidth="1"/>
    <col min="19" max="19" width="14.28515625" customWidth="1"/>
    <col min="20" max="20" width="15.5703125" customWidth="1"/>
    <col min="21" max="21" width="15.85546875" customWidth="1"/>
  </cols>
  <sheetData>
    <row r="1" spans="1:19" ht="24" customHeight="1" x14ac:dyDescent="0.2">
      <c r="K1" s="132"/>
      <c r="L1" s="456" t="s">
        <v>73</v>
      </c>
      <c r="M1" s="456"/>
      <c r="N1" s="456"/>
      <c r="O1" s="456"/>
      <c r="P1" s="123" t="str">
        <f>'water demand calculation'!H1</f>
        <v xml:space="preserve"> irrigation water supply</v>
      </c>
    </row>
    <row r="2" spans="1:19" ht="25.5" x14ac:dyDescent="0.2">
      <c r="K2" s="132"/>
      <c r="L2" s="19" t="s">
        <v>71</v>
      </c>
      <c r="M2" s="20" t="s">
        <v>56</v>
      </c>
      <c r="N2" s="20" t="s">
        <v>57</v>
      </c>
      <c r="O2" s="21" t="s">
        <v>17</v>
      </c>
      <c r="P2" s="124" t="str">
        <f>'water demand calculation'!H2</f>
        <v>m3/y</v>
      </c>
    </row>
    <row r="3" spans="1:19" x14ac:dyDescent="0.2">
      <c r="L3" s="15">
        <f>VLOOKUP(Variable!$B$4,inputdata!B37:K50,2,0)*Variable!B5+VLOOKUP(Variable!$C$4,inputdata!B37:K50,2,0)*Variable!C5</f>
        <v>4</v>
      </c>
      <c r="M3" s="15">
        <f>VLOOKUP(Variable!$B$4,inputdata!$B$37:$I439,3,0)*Variable!$B$5+VLOOKUP(Variable!$C$4,inputdata!$B$37:$G$51,3,0)*Variable!$C$5</f>
        <v>21</v>
      </c>
      <c r="N3" s="15">
        <f>VLOOKUP(Variable!$B$4,inputdata!$B$37:$I439,4,0)*Variable!$B$5+VLOOKUP(Variable!$C$4,inputdata!$B$37:$G$51,4,0)*Variable!$C$5</f>
        <v>6.5</v>
      </c>
      <c r="O3" s="15">
        <f>VLOOKUP(Variable!$B$4,inputdata!$B$37:$I439,5,0)*Variable!$B$5+VLOOKUP(Variable!$C$4,inputdata!$B$37:$G$51,5,0)*Variable!$C$5</f>
        <v>50</v>
      </c>
      <c r="P3" s="15">
        <f>'water demand calculation'!H3</f>
        <v>30.24</v>
      </c>
    </row>
    <row r="4" spans="1:19" ht="15" x14ac:dyDescent="0.2">
      <c r="F4" s="503" t="s">
        <v>67</v>
      </c>
      <c r="G4" s="503"/>
      <c r="H4" s="503"/>
      <c r="I4" s="503"/>
    </row>
    <row r="5" spans="1:19" x14ac:dyDescent="0.2">
      <c r="E5" s="16" t="s">
        <v>108</v>
      </c>
      <c r="F5" s="16" t="s">
        <v>147</v>
      </c>
      <c r="G5" s="16" t="s">
        <v>48</v>
      </c>
      <c r="H5" s="16" t="s">
        <v>66</v>
      </c>
      <c r="I5" s="16" t="s">
        <v>65</v>
      </c>
    </row>
    <row r="6" spans="1:19" x14ac:dyDescent="0.2">
      <c r="E6" t="str">
        <f>Variable!B45</f>
        <v xml:space="preserve"> cattle</v>
      </c>
      <c r="F6">
        <f>Variable!A45</f>
        <v>0</v>
      </c>
      <c r="G6">
        <f>Variable!A45*1000*(1-Variable!C45)*VLOOKUP(Variable!B45,inputdata!K64:P66,2,0)*VLOOKUP(Variable!B45,inputdata!K64:O66,5,0)</f>
        <v>0</v>
      </c>
      <c r="H6" s="45">
        <f>Variable!A45*1000*(1-Variable!D45)*VLOOKUP(Variable!B45,inputdata!K64:P66,3,0)*VLOOKUP(Variable!B45,inputdata!K64:P66,6,0)</f>
        <v>0</v>
      </c>
      <c r="I6">
        <f>Variable!A45*1000*(1-Variable!D45)*VLOOKUP(Variable!B45,inputdata!K64:P66,4,0)*VLOOKUP(Variable!B45,inputdata!K64:P66,6,0)</f>
        <v>0</v>
      </c>
    </row>
    <row r="8" spans="1:19" ht="21" customHeight="1" x14ac:dyDescent="0.25">
      <c r="N8" s="504" t="s">
        <v>149</v>
      </c>
      <c r="O8" s="505"/>
      <c r="P8" s="505"/>
      <c r="Q8" s="506"/>
    </row>
    <row r="9" spans="1:19" ht="25.5" customHeight="1" x14ac:dyDescent="0.2">
      <c r="A9" s="134" t="str">
        <f>Variable!B3</f>
        <v xml:space="preserve">spring-summer season </v>
      </c>
      <c r="B9" s="502" t="s">
        <v>102</v>
      </c>
      <c r="C9" s="502"/>
      <c r="D9" s="502"/>
      <c r="E9" s="454" t="s">
        <v>51</v>
      </c>
      <c r="F9" s="454"/>
      <c r="G9" s="454"/>
      <c r="H9" s="457" t="s">
        <v>150</v>
      </c>
      <c r="I9" s="457"/>
      <c r="J9" s="457"/>
      <c r="K9" s="24"/>
      <c r="L9" s="24"/>
      <c r="M9" s="24"/>
      <c r="N9" s="57" t="str">
        <f>P9&amp;"&amp;" &amp; Q9</f>
        <v>Diammonium phosphate&amp;Potassium sulphate</v>
      </c>
      <c r="O9" s="57" t="str">
        <f>Variable!A49</f>
        <v>Urea</v>
      </c>
      <c r="P9" s="58" t="str">
        <f>Variable!B49</f>
        <v>Diammonium phosphate</v>
      </c>
      <c r="Q9" s="59" t="str">
        <f>Variable!C49</f>
        <v>Potassium sulphate</v>
      </c>
    </row>
    <row r="10" spans="1:19" ht="51" x14ac:dyDescent="0.2">
      <c r="A10" s="130" t="s">
        <v>188</v>
      </c>
      <c r="B10" s="56" t="s">
        <v>133</v>
      </c>
      <c r="C10" s="56" t="s">
        <v>135</v>
      </c>
      <c r="D10" s="56" t="s">
        <v>134</v>
      </c>
      <c r="E10" s="60" t="s">
        <v>153</v>
      </c>
      <c r="F10" s="60" t="s">
        <v>154</v>
      </c>
      <c r="G10" s="60" t="s">
        <v>155</v>
      </c>
      <c r="H10" s="61" t="s">
        <v>130</v>
      </c>
      <c r="I10" s="61" t="s">
        <v>131</v>
      </c>
      <c r="J10" s="61" t="s">
        <v>132</v>
      </c>
      <c r="K10" s="62" t="s">
        <v>127</v>
      </c>
      <c r="L10" s="62" t="s">
        <v>128</v>
      </c>
      <c r="M10" s="62" t="s">
        <v>129</v>
      </c>
      <c r="N10" s="501" t="s">
        <v>48</v>
      </c>
      <c r="O10" s="501"/>
      <c r="P10" s="63" t="s">
        <v>49</v>
      </c>
      <c r="Q10" s="64" t="s">
        <v>50</v>
      </c>
    </row>
    <row r="11" spans="1:19" x14ac:dyDescent="0.2">
      <c r="A11" s="65" t="str">
        <f>'water demand calculation'!A7</f>
        <v xml:space="preserve">wheat </v>
      </c>
      <c r="B11" s="70" t="str">
        <f>IF('water demand calculation'!F7="","",inputdata!J13*inputdata!M13)</f>
        <v/>
      </c>
      <c r="C11" s="66" t="str">
        <f>IF('water demand calculation'!F7="","",inputdata!K13*inputdata!M13*0.44)</f>
        <v/>
      </c>
      <c r="D11" s="66" t="str">
        <f>IF('water demand calculation'!F7="","",inputdata!L13*inputdata!M13*0.83)</f>
        <v/>
      </c>
      <c r="E11" s="67" t="str">
        <f>IF('water demand calculation'!F7="","",'water demand calculation'!$E$3*'water demand calculation'!G7*0.5/1000)</f>
        <v/>
      </c>
      <c r="F11" s="67" t="str">
        <f>IF('water demand calculation'!F7="","",'water demand calculation'!$F$3*'water demand calculation'!G7/1000)</f>
        <v/>
      </c>
      <c r="G11" s="67" t="str">
        <f>IF('water demand calculation'!F7="","",'water demand calculation'!$G$3*'water demand calculation'!G7/1000)</f>
        <v/>
      </c>
      <c r="H11" s="68" t="str">
        <f>IF('water demand calculation'!F7="","",IF((B11-E11-inputdata!$L$60)&lt;=0,0,IF((B11-E11-inputdata!$L$60-$G$6)&lt;=0,0,(B11-E11-inputdata!$L$60-$G$6))))</f>
        <v/>
      </c>
      <c r="I11" s="68" t="str">
        <f>IF('water demand calculation'!F7="","",IF((C11-F11-inputdata!$L$58)&lt;=0,0,IF((C11-F11-inputdata!$L$58-$H$6)&lt;=0,0,(C11-F11-inputdata!$L$58-$H$6))))</f>
        <v/>
      </c>
      <c r="J11" s="68" t="str">
        <f>IF('water demand calculation'!F7="","",IF((D11-G11-inputdata!$L$59)&lt;=0,0,IF((D11-G11-inputdata!$L$59-$I$6)&lt;=0,0,(D11-G11-inputdata!$L$59-$I$6))))</f>
        <v/>
      </c>
      <c r="K11" s="24" t="str">
        <f>IF('water demand calculation'!$F7="","",IF(('fertiliser demand calculation'!B11-'fertiliser demand calculation'!E11-inputdata!$L$60)&gt;=0,0,'fertiliser demand calculation'!B11-'fertiliser demand calculation'!E11))</f>
        <v/>
      </c>
      <c r="L11" s="24" t="str">
        <f>IF('water demand calculation'!$F7="","",IF(('fertiliser demand calculation'!C11-'fertiliser demand calculation'!F11-inputdata!$L$60)&gt;=0,0,'fertiliser demand calculation'!C11-'fertiliser demand calculation'!F11))</f>
        <v/>
      </c>
      <c r="M11" s="24" t="str">
        <f>IF('water demand calculation'!$F7="","",IF(('fertiliser demand calculation'!D11-'fertiliser demand calculation'!G11-inputdata!$L$60)&gt;=0,0,'fertiliser demand calculation'!D11-'fertiliser demand calculation'!G11))</f>
        <v/>
      </c>
      <c r="N11" s="69" t="str">
        <f>IF('water demand calculation'!F7="","",IF(H11=0,0,P11*VLOOKUP($P$9,inputdata!$A$54:$D$58,2,0)/100+Q11*VLOOKUP($Q$9,inputdata!$A$60:$D$61,2,0)/100))</f>
        <v/>
      </c>
      <c r="O11" s="69" t="str">
        <f>IF('water demand calculation'!F7="","",IF(N11&gt;=H11,0,(H11-N11)/VLOOKUP('fertiliser demand calculation'!$O$9,inputdata!$A$63:$D$66,2,0)*100))</f>
        <v/>
      </c>
      <c r="P11" s="69" t="str">
        <f>IF('water demand calculation'!F7="","",IF(I11=0,0,(I11*2.29*100/VLOOKUP('fertiliser demand calculation'!$P$9,inputdata!$A$54:$D$66,3,0))))</f>
        <v/>
      </c>
      <c r="Q11" s="69" t="str">
        <f>IF('water demand calculation'!F7="","",IF(J11=0,0,(J11*1.2*100/VLOOKUP('fertiliser demand calculation'!$Q$9,inputdata!$A$54:$D$66,4,0))))</f>
        <v/>
      </c>
      <c r="S11" s="18" t="str">
        <f>IF('water demand calculation'!L7="","",IF(R11&gt;=N11,0,(N11-R11)/VLOOKUP('fertiliser demand calculation'!$O$9,inputdata!$A$63:$D$66,2,0)*100))</f>
        <v/>
      </c>
    </row>
    <row r="12" spans="1:19" x14ac:dyDescent="0.2">
      <c r="A12" s="65" t="str">
        <f>'water demand calculation'!A8</f>
        <v>barley</v>
      </c>
      <c r="B12" s="70" t="str">
        <f>IF('water demand calculation'!F8="","",inputdata!J14*inputdata!M14)</f>
        <v/>
      </c>
      <c r="C12" s="66" t="str">
        <f>IF('water demand calculation'!F8="","",inputdata!K14*inputdata!M14*0.44)</f>
        <v/>
      </c>
      <c r="D12" s="66" t="str">
        <f>IF('water demand calculation'!F8="","",inputdata!L14*inputdata!M14*0.83)</f>
        <v/>
      </c>
      <c r="E12" s="67" t="str">
        <f>IF('water demand calculation'!F8="","",'water demand calculation'!$E$3*'water demand calculation'!G8*0.5/1000)</f>
        <v/>
      </c>
      <c r="F12" s="67" t="str">
        <f>IF('water demand calculation'!F8="","",'water demand calculation'!$F$3*'water demand calculation'!G8/1000)</f>
        <v/>
      </c>
      <c r="G12" s="67" t="str">
        <f>IF('water demand calculation'!F8="","",'water demand calculation'!$G$3*'water demand calculation'!G8/1000)</f>
        <v/>
      </c>
      <c r="H12" s="68" t="str">
        <f>IF('water demand calculation'!F8="","",IF((B12-E12-inputdata!$L$60)&lt;=0,0,IF((B12-E12-inputdata!$L$60-$G$6)&lt;=0,0,(B12-E12-inputdata!$L$60-$G$6))))</f>
        <v/>
      </c>
      <c r="I12" s="68" t="str">
        <f>IF('water demand calculation'!F8="","",IF((C12-F12-inputdata!$L$58)&lt;=0,0,IF((C12-F12-inputdata!$L$58-$H$6)&lt;=0,0,(C12-F12-inputdata!$L$58-$H$6))))</f>
        <v/>
      </c>
      <c r="J12" s="68" t="str">
        <f>IF('water demand calculation'!F8="","",IF((D12-G12-inputdata!$L$59)&lt;=0,0,IF((D12-G12-inputdata!$L$59-$I$6)&lt;=0,0,(D12-G12-inputdata!$L$59-$I$6))))</f>
        <v/>
      </c>
      <c r="K12" s="24" t="str">
        <f>IF('water demand calculation'!$F8="","",IF(('fertiliser demand calculation'!B12-'fertiliser demand calculation'!E12-inputdata!$L$60)&gt;=0,0,'fertiliser demand calculation'!B12-'fertiliser demand calculation'!E12))</f>
        <v/>
      </c>
      <c r="L12" s="24" t="str">
        <f>IF('water demand calculation'!$F8="","",IF(('fertiliser demand calculation'!C12-'fertiliser demand calculation'!F12-inputdata!$L$60)&gt;=0,0,'fertiliser demand calculation'!C12-'fertiliser demand calculation'!F12))</f>
        <v/>
      </c>
      <c r="M12" s="24" t="str">
        <f>IF('water demand calculation'!$F8="","",IF(('fertiliser demand calculation'!D12-'fertiliser demand calculation'!G12-inputdata!$L$60)&gt;=0,0,'fertiliser demand calculation'!D12-'fertiliser demand calculation'!G12))</f>
        <v/>
      </c>
      <c r="N12" s="69" t="str">
        <f>IF('water demand calculation'!F8="","",IF(H12=0,0,P12*VLOOKUP($P$9,inputdata!$A$54:$D$58,2,0)/100+Q12*VLOOKUP($Q$9,inputdata!$A$60:$D$61,2,0)/100))</f>
        <v/>
      </c>
      <c r="O12" s="69" t="str">
        <f>IF('water demand calculation'!F8="","",IF(N12&gt;=H12,0,(H12-N12)/VLOOKUP('fertiliser demand calculation'!$O$9,inputdata!$A$63:$D$66,2,0)*100))</f>
        <v/>
      </c>
      <c r="P12" s="69" t="str">
        <f>IF('water demand calculation'!F8="","",IF(I12=0,0,(I12*2.29*100/VLOOKUP('fertiliser demand calculation'!$P$9,inputdata!$A$54:$D$66,3,0))))</f>
        <v/>
      </c>
      <c r="Q12" s="69" t="str">
        <f>IF('water demand calculation'!F8="","",IF(J12=0,0,(J12*1.2*100/VLOOKUP('fertiliser demand calculation'!$Q$9,inputdata!$A$54:$D$66,4,0))))</f>
        <v/>
      </c>
      <c r="S12" s="18" t="str">
        <f>IF('water demand calculation'!L8="","",IF(R12&gt;=N12,0,(N12-R12)/VLOOKUP('fertiliser demand calculation'!$O$9,inputdata!$A$63:$D$66,2,0)*100))</f>
        <v/>
      </c>
    </row>
    <row r="13" spans="1:19" x14ac:dyDescent="0.2">
      <c r="A13" s="65" t="str">
        <f>'water demand calculation'!A9</f>
        <v>peas*</v>
      </c>
      <c r="B13" s="70" t="str">
        <f>IF('water demand calculation'!F9="","",inputdata!J15*inputdata!M15)</f>
        <v/>
      </c>
      <c r="C13" s="66" t="str">
        <f>IF('water demand calculation'!F9="","",inputdata!K15*inputdata!M15*0.44)</f>
        <v/>
      </c>
      <c r="D13" s="66" t="str">
        <f>IF('water demand calculation'!F9="","",inputdata!L15*inputdata!M15*0.83)</f>
        <v/>
      </c>
      <c r="E13" s="67" t="str">
        <f>IF('water demand calculation'!F9="","",'water demand calculation'!$E$3*'water demand calculation'!G9*0.5/1000)</f>
        <v/>
      </c>
      <c r="F13" s="67" t="str">
        <f>IF('water demand calculation'!F9="","",'water demand calculation'!$F$3*'water demand calculation'!G9/1000)</f>
        <v/>
      </c>
      <c r="G13" s="67" t="str">
        <f>IF('water demand calculation'!F9="","",'water demand calculation'!$G$3*'water demand calculation'!G9/1000)</f>
        <v/>
      </c>
      <c r="H13" s="68" t="str">
        <f>IF('water demand calculation'!F9="","",IF((B13-E13-inputdata!$L$60)&lt;=0,0,IF((B13-E13-inputdata!$L$60-$G$6)&lt;=0,0,(B13-E13-inputdata!$L$60-$G$6))))</f>
        <v/>
      </c>
      <c r="I13" s="68" t="str">
        <f>IF('water demand calculation'!F9="","",IF((C13-F13-inputdata!$L$58)&lt;=0,0,IF((C13-F13-inputdata!$L$58-$H$6)&lt;=0,0,(C13-F13-inputdata!$L$58-$H$6))))</f>
        <v/>
      </c>
      <c r="J13" s="68" t="str">
        <f>IF('water demand calculation'!F9="","",IF((D13-G13-inputdata!$L$59)&lt;=0,0,IF((D13-G13-inputdata!$L$59-$I$6)&lt;=0,0,(D13-G13-inputdata!$L$59-$I$6))))</f>
        <v/>
      </c>
      <c r="K13" s="24" t="str">
        <f>IF('water demand calculation'!$F9="","",IF(('fertiliser demand calculation'!B13-'fertiliser demand calculation'!E13-inputdata!$L$60)&gt;=0,0,'fertiliser demand calculation'!B13-'fertiliser demand calculation'!E13))</f>
        <v/>
      </c>
      <c r="L13" s="24" t="str">
        <f>IF('water demand calculation'!$F9="","",IF(('fertiliser demand calculation'!C13-'fertiliser demand calculation'!F13-inputdata!$L$60)&gt;=0,0,'fertiliser demand calculation'!C13-'fertiliser demand calculation'!F13))</f>
        <v/>
      </c>
      <c r="M13" s="24" t="str">
        <f>IF('water demand calculation'!$F9="","",IF(('fertiliser demand calculation'!D13-'fertiliser demand calculation'!G13-inputdata!$L$60)&gt;=0,0,'fertiliser demand calculation'!D13-'fertiliser demand calculation'!G13))</f>
        <v/>
      </c>
      <c r="N13" s="69" t="str">
        <f>IF('water demand calculation'!F9="","",IF(H13=0,0,P13*VLOOKUP($P$9,inputdata!$A$54:$D$58,2,0)/100+Q13*VLOOKUP($Q$9,inputdata!$A$60:$D$61,2,0)/100))</f>
        <v/>
      </c>
      <c r="O13" s="69" t="str">
        <f>IF('water demand calculation'!F9="","",IF(N13&gt;=H13,0,(H13-N13)/VLOOKUP('fertiliser demand calculation'!$O$9,inputdata!$A$63:$D$66,2,0)*100))</f>
        <v/>
      </c>
      <c r="P13" s="69" t="str">
        <f>IF('water demand calculation'!F9="","",IF(I13=0,0,(I13*2.29*100/VLOOKUP('fertiliser demand calculation'!$P$9,inputdata!$A$54:$D$66,3,0))))</f>
        <v/>
      </c>
      <c r="Q13" s="69" t="str">
        <f>IF('water demand calculation'!F9="","",IF(J13=0,0,(J13*1.2*100/VLOOKUP('fertiliser demand calculation'!$Q$9,inputdata!$A$54:$D$66,4,0))))</f>
        <v/>
      </c>
      <c r="S13" s="18" t="str">
        <f>IF('water demand calculation'!L9="","",IF(R13&gt;=N13,0,(N13-R13)/VLOOKUP('fertiliser demand calculation'!$O$9,inputdata!$A$63:$D$66,2,0)*100))</f>
        <v/>
      </c>
    </row>
    <row r="14" spans="1:19" x14ac:dyDescent="0.2">
      <c r="A14" s="65" t="str">
        <f>'water demand calculation'!A10</f>
        <v>broad beans*</v>
      </c>
      <c r="B14" s="70" t="str">
        <f>IF('water demand calculation'!F10="","",inputdata!J16*inputdata!M16)</f>
        <v/>
      </c>
      <c r="C14" s="66" t="str">
        <f>IF('water demand calculation'!F10="","",inputdata!K16*inputdata!M16*0.44)</f>
        <v/>
      </c>
      <c r="D14" s="66" t="str">
        <f>IF('water demand calculation'!F10="","",inputdata!L16*inputdata!M16*0.83)</f>
        <v/>
      </c>
      <c r="E14" s="67" t="str">
        <f>IF('water demand calculation'!F10="","",'water demand calculation'!$E$3*'water demand calculation'!G10*0.5/1000)</f>
        <v/>
      </c>
      <c r="F14" s="67" t="str">
        <f>IF('water demand calculation'!F10="","",'water demand calculation'!$F$3*'water demand calculation'!G10/1000)</f>
        <v/>
      </c>
      <c r="G14" s="67" t="str">
        <f>IF('water demand calculation'!F10="","",'water demand calculation'!$G$3*'water demand calculation'!G10/1000)</f>
        <v/>
      </c>
      <c r="H14" s="68" t="str">
        <f>IF('water demand calculation'!F10="","",IF((B14-E14-inputdata!$L$60)&lt;=0,0,IF((B14-E14-inputdata!$L$60-$G$6)&lt;=0,0,(B14-E14-inputdata!$L$60-$G$6))))</f>
        <v/>
      </c>
      <c r="I14" s="68" t="str">
        <f>IF('water demand calculation'!F10="","",IF((C14-F14-inputdata!$L$58)&lt;=0,0,IF((C14-F14-inputdata!$L$58-$H$6)&lt;=0,0,(C14-F14-inputdata!$L$58-$H$6))))</f>
        <v/>
      </c>
      <c r="J14" s="68" t="str">
        <f>IF('water demand calculation'!F10="","",IF((D14-G14-inputdata!$L$59)&lt;=0,0,IF((D14-G14-inputdata!$L$59-$I$6)&lt;=0,0,(D14-G14-inputdata!$L$59-$I$6))))</f>
        <v/>
      </c>
      <c r="K14" s="24" t="str">
        <f>IF('water demand calculation'!$F10="","",IF(('fertiliser demand calculation'!B14-'fertiliser demand calculation'!E14-inputdata!$L$60)&gt;=0,0,'fertiliser demand calculation'!B14-'fertiliser demand calculation'!E14))</f>
        <v/>
      </c>
      <c r="L14" s="24" t="str">
        <f>IF('water demand calculation'!$F10="","",IF(('fertiliser demand calculation'!C14-'fertiliser demand calculation'!F14-inputdata!$L$60)&gt;=0,0,'fertiliser demand calculation'!C14-'fertiliser demand calculation'!F14))</f>
        <v/>
      </c>
      <c r="M14" s="24" t="str">
        <f>IF('water demand calculation'!$F10="","",IF(('fertiliser demand calculation'!D14-'fertiliser demand calculation'!G14-inputdata!$L$60)&gt;=0,0,'fertiliser demand calculation'!D14-'fertiliser demand calculation'!G14))</f>
        <v/>
      </c>
      <c r="N14" s="69" t="str">
        <f>IF('water demand calculation'!F10="","",IF(H14=0,0,P14*VLOOKUP($P$9,inputdata!$A$54:$D$58,2,0)/100+Q14*VLOOKUP($Q$9,inputdata!$A$60:$D$61,2,0)/100))</f>
        <v/>
      </c>
      <c r="O14" s="69" t="str">
        <f>IF('water demand calculation'!F10="","",IF(N14&gt;=H14,0,(H14-N14)/VLOOKUP('fertiliser demand calculation'!$O$9,inputdata!$A$63:$D$66,2,0)*100))</f>
        <v/>
      </c>
      <c r="P14" s="69" t="str">
        <f>IF('water demand calculation'!F10="","",IF(I14=0,0,(I14*2.29*100/VLOOKUP('fertiliser demand calculation'!$P$9,inputdata!$A$54:$D$66,3,0))))</f>
        <v/>
      </c>
      <c r="Q14" s="69" t="str">
        <f>IF('water demand calculation'!F10="","",IF(J14=0,0,(J14*1.2*100/VLOOKUP('fertiliser demand calculation'!$Q$9,inputdata!$A$54:$D$66,4,0))))</f>
        <v/>
      </c>
      <c r="S14" s="18" t="str">
        <f>IF('water demand calculation'!L10="","",IF(R14&gt;=N14,0,(N14-R14)/VLOOKUP('fertiliser demand calculation'!$O$9,inputdata!$A$63:$D$66,2,0)*100))</f>
        <v/>
      </c>
    </row>
    <row r="15" spans="1:19" x14ac:dyDescent="0.2">
      <c r="A15" s="65" t="str">
        <f>'water demand calculation'!A11</f>
        <v>oat</v>
      </c>
      <c r="B15" s="70" t="str">
        <f>IF('water demand calculation'!F11="","",inputdata!J17*inputdata!M17)</f>
        <v/>
      </c>
      <c r="C15" s="66" t="str">
        <f>IF('water demand calculation'!F11="","",inputdata!K17*inputdata!M17*0.44)</f>
        <v/>
      </c>
      <c r="D15" s="66" t="str">
        <f>IF('water demand calculation'!F11="","",inputdata!L17*inputdata!M17*0.83)</f>
        <v/>
      </c>
      <c r="E15" s="67" t="str">
        <f>IF('water demand calculation'!F11="","",'water demand calculation'!$E$3*'water demand calculation'!G11*0.5/1000)</f>
        <v/>
      </c>
      <c r="F15" s="67" t="str">
        <f>IF('water demand calculation'!F11="","",'water demand calculation'!$F$3*'water demand calculation'!G11/1000)</f>
        <v/>
      </c>
      <c r="G15" s="67" t="str">
        <f>IF('water demand calculation'!F11="","",'water demand calculation'!$G$3*'water demand calculation'!G11/1000)</f>
        <v/>
      </c>
      <c r="H15" s="68" t="str">
        <f>IF('water demand calculation'!F11="","",IF((B15-E15-inputdata!$L$60)&lt;=0,0,IF((B15-E15-inputdata!$L$60-$G$6)&lt;=0,0,(B15-E15-inputdata!$L$60-$G$6))))</f>
        <v/>
      </c>
      <c r="I15" s="68" t="str">
        <f>IF('water demand calculation'!F11="","",IF((C15-F15-inputdata!$L$58)&lt;=0,0,IF((C15-F15-inputdata!$L$58-$H$6)&lt;=0,0,(C15-F15-inputdata!$L$58-$H$6))))</f>
        <v/>
      </c>
      <c r="J15" s="68" t="str">
        <f>IF('water demand calculation'!F11="","",IF((D15-G15-inputdata!$L$59)&lt;=0,0,IF((D15-G15-inputdata!$L$59-$I$6)&lt;=0,0,(D15-G15-inputdata!$L$59-$I$6))))</f>
        <v/>
      </c>
      <c r="K15" s="24" t="str">
        <f>IF('water demand calculation'!$F11="","",IF(('fertiliser demand calculation'!B15-'fertiliser demand calculation'!E15-inputdata!$L$60)&gt;=0,0,'fertiliser demand calculation'!B15-'fertiliser demand calculation'!E15))</f>
        <v/>
      </c>
      <c r="L15" s="24" t="str">
        <f>IF('water demand calculation'!$F11="","",IF(('fertiliser demand calculation'!C15-'fertiliser demand calculation'!F15-inputdata!$L$60)&gt;=0,0,'fertiliser demand calculation'!C15-'fertiliser demand calculation'!F15))</f>
        <v/>
      </c>
      <c r="M15" s="24" t="str">
        <f>IF('water demand calculation'!$F11="","",IF(('fertiliser demand calculation'!D15-'fertiliser demand calculation'!G15-inputdata!$L$60)&gt;=0,0,'fertiliser demand calculation'!D15-'fertiliser demand calculation'!G15))</f>
        <v/>
      </c>
      <c r="N15" s="69" t="str">
        <f>IF('water demand calculation'!F11="","",IF(H15=0,0,P15*VLOOKUP($P$9,inputdata!$A$54:$D$58,2,0)/100+Q15*VLOOKUP($Q$9,inputdata!$A$60:$D$61,2,0)/100))</f>
        <v/>
      </c>
      <c r="O15" s="69" t="str">
        <f>IF('water demand calculation'!F11="","",IF(N15&gt;=H15,0,(H15-N15)/VLOOKUP('fertiliser demand calculation'!$O$9,inputdata!$A$63:$D$66,2,0)*100))</f>
        <v/>
      </c>
      <c r="P15" s="69" t="str">
        <f>IF('water demand calculation'!F11="","",IF(I15=0,0,(I15*2.29*100/VLOOKUP('fertiliser demand calculation'!$P$9,inputdata!$A$54:$D$66,3,0))))</f>
        <v/>
      </c>
      <c r="Q15" s="69" t="str">
        <f>IF('water demand calculation'!F11="","",IF(J15=0,0,(J15*1.2*100/VLOOKUP('fertiliser demand calculation'!$Q$9,inputdata!$A$54:$D$66,4,0))))</f>
        <v/>
      </c>
      <c r="S15" s="18" t="str">
        <f>IF('water demand calculation'!L11="","",IF(R15&gt;=N15,0,(N15-R15)/VLOOKUP('fertiliser demand calculation'!$O$9,inputdata!$A$63:$D$66,2,0)*100))</f>
        <v/>
      </c>
    </row>
    <row r="16" spans="1:19" x14ac:dyDescent="0.2">
      <c r="A16" s="65" t="str">
        <f>'water demand calculation'!A12</f>
        <v>potato</v>
      </c>
      <c r="B16" s="70" t="str">
        <f>IF('water demand calculation'!F12="","",inputdata!J18*inputdata!M18)</f>
        <v/>
      </c>
      <c r="C16" s="66" t="str">
        <f>IF('water demand calculation'!F12="","",inputdata!K18*inputdata!M18*0.44)</f>
        <v/>
      </c>
      <c r="D16" s="66" t="str">
        <f>IF('water demand calculation'!F12="","",inputdata!L18*inputdata!M18*0.83)</f>
        <v/>
      </c>
      <c r="E16" s="67" t="str">
        <f>IF('water demand calculation'!F12="","",'water demand calculation'!$E$3*'water demand calculation'!G12*0.5/1000)</f>
        <v/>
      </c>
      <c r="F16" s="67" t="str">
        <f>IF('water demand calculation'!F12="","",'water demand calculation'!$F$3*'water demand calculation'!G12/1000)</f>
        <v/>
      </c>
      <c r="G16" s="67" t="str">
        <f>IF('water demand calculation'!F12="","",'water demand calculation'!$G$3*'water demand calculation'!G12/1000)</f>
        <v/>
      </c>
      <c r="H16" s="68" t="str">
        <f>IF('water demand calculation'!F12="","",IF((B16-E16-inputdata!$L$60)&lt;=0,0,IF((B16-E16-inputdata!$L$60-$G$6)&lt;=0,0,(B16-E16-inputdata!$L$60-$G$6))))</f>
        <v/>
      </c>
      <c r="I16" s="68" t="str">
        <f>IF('water demand calculation'!F12="","",IF((C16-F16-inputdata!$L$58)&lt;=0,0,IF((C16-F16-inputdata!$L$58-$H$6)&lt;=0,0,(C16-F16-inputdata!$L$58-$H$6))))</f>
        <v/>
      </c>
      <c r="J16" s="68" t="str">
        <f>IF('water demand calculation'!F12="","",IF((D16-G16-inputdata!$L$59)&lt;=0,0,IF((D16-G16-inputdata!$L$59-$I$6)&lt;=0,0,(D16-G16-inputdata!$L$59-$I$6))))</f>
        <v/>
      </c>
      <c r="K16" s="24" t="str">
        <f>IF('water demand calculation'!$F12="","",IF(('fertiliser demand calculation'!B16-'fertiliser demand calculation'!E16-inputdata!$L$60)&gt;=0,0,'fertiliser demand calculation'!B16-'fertiliser demand calculation'!E16))</f>
        <v/>
      </c>
      <c r="L16" s="24" t="str">
        <f>IF('water demand calculation'!$F12="","",IF(('fertiliser demand calculation'!C16-'fertiliser demand calculation'!F16-inputdata!$L$60)&gt;=0,0,'fertiliser demand calculation'!C16-'fertiliser demand calculation'!F16))</f>
        <v/>
      </c>
      <c r="M16" s="24" t="str">
        <f>IF('water demand calculation'!$F12="","",IF(('fertiliser demand calculation'!D16-'fertiliser demand calculation'!G16-inputdata!$L$60)&gt;=0,0,'fertiliser demand calculation'!D16-'fertiliser demand calculation'!G16))</f>
        <v/>
      </c>
      <c r="N16" s="69" t="str">
        <f>IF('water demand calculation'!F12="","",IF(H16=0,0,P16*VLOOKUP($P$9,inputdata!$A$54:$D$58,2,0)/100+Q16*VLOOKUP($Q$9,inputdata!$A$60:$D$61,2,0)/100))</f>
        <v/>
      </c>
      <c r="O16" s="69" t="str">
        <f>IF('water demand calculation'!F12="","",IF(N16&gt;=H16,0,(H16-N16)/VLOOKUP('fertiliser demand calculation'!$O$9,inputdata!$A$63:$D$66,2,0)*100))</f>
        <v/>
      </c>
      <c r="P16" s="69" t="str">
        <f>IF('water demand calculation'!F12="","",IF(I16=0,0,(I16*2.29*100/VLOOKUP('fertiliser demand calculation'!$P$9,inputdata!$A$54:$D$66,3,0))))</f>
        <v/>
      </c>
      <c r="Q16" s="69" t="str">
        <f>IF('water demand calculation'!F12="","",IF(J16=0,0,(J16*1.2*100/VLOOKUP('fertiliser demand calculation'!$Q$9,inputdata!$A$54:$D$66,4,0))))</f>
        <v/>
      </c>
      <c r="S16" s="18" t="str">
        <f>IF('water demand calculation'!L12="","",IF(R16&gt;=N16,0,(N16-R16)/VLOOKUP('fertiliser demand calculation'!$O$9,inputdata!$A$63:$D$66,2,0)*100))</f>
        <v/>
      </c>
    </row>
    <row r="17" spans="1:19" x14ac:dyDescent="0.2">
      <c r="A17" s="65" t="str">
        <f>'water demand calculation'!A13</f>
        <v>onion</v>
      </c>
      <c r="B17" s="70" t="str">
        <f>IF('water demand calculation'!F13="","",inputdata!J19*inputdata!M19)</f>
        <v/>
      </c>
      <c r="C17" s="66" t="str">
        <f>IF('water demand calculation'!F13="","",inputdata!K19*inputdata!M19*0.44)</f>
        <v/>
      </c>
      <c r="D17" s="66" t="str">
        <f>IF('water demand calculation'!F13="","",inputdata!L19*inputdata!M19*0.83)</f>
        <v/>
      </c>
      <c r="E17" s="67" t="str">
        <f>IF('water demand calculation'!F13="","",'water demand calculation'!$E$3*'water demand calculation'!G13*0.5/1000)</f>
        <v/>
      </c>
      <c r="F17" s="67" t="str">
        <f>IF('water demand calculation'!F13="","",'water demand calculation'!$F$3*'water demand calculation'!G13/1000)</f>
        <v/>
      </c>
      <c r="G17" s="67" t="str">
        <f>IF('water demand calculation'!F13="","",'water demand calculation'!$G$3*'water demand calculation'!G13/1000)</f>
        <v/>
      </c>
      <c r="H17" s="68" t="str">
        <f>IF('water demand calculation'!F13="","",IF((B17-E17-inputdata!$L$60)&lt;=0,0,IF((B17-E17-inputdata!$L$60-$G$6)&lt;=0,0,(B17-E17-inputdata!$L$60-$G$6))))</f>
        <v/>
      </c>
      <c r="I17" s="68" t="str">
        <f>IF('water demand calculation'!F13="","",IF((C17-F17-inputdata!$L$58)&lt;=0,0,IF((C17-F17-inputdata!$L$58-$H$6)&lt;=0,0,(C17-F17-inputdata!$L$58-$H$6))))</f>
        <v/>
      </c>
      <c r="J17" s="68" t="str">
        <f>IF('water demand calculation'!F13="","",IF((D17-G17-inputdata!$L$59)&lt;=0,0,IF((D17-G17-inputdata!$L$59-$I$6)&lt;=0,0,(D17-G17-inputdata!$L$59-$I$6))))</f>
        <v/>
      </c>
      <c r="K17" s="24" t="str">
        <f>IF('water demand calculation'!$F13="","",IF(('fertiliser demand calculation'!B17-'fertiliser demand calculation'!E17-inputdata!$L$60)&gt;=0,0,'fertiliser demand calculation'!B17-'fertiliser demand calculation'!E17))</f>
        <v/>
      </c>
      <c r="L17" s="24" t="str">
        <f>IF('water demand calculation'!$F13="","",IF(('fertiliser demand calculation'!C17-'fertiliser demand calculation'!F17-inputdata!$L$60)&gt;=0,0,'fertiliser demand calculation'!C17-'fertiliser demand calculation'!F17))</f>
        <v/>
      </c>
      <c r="M17" s="24" t="str">
        <f>IF('water demand calculation'!$F13="","",IF(('fertiliser demand calculation'!D17-'fertiliser demand calculation'!G17-inputdata!$L$60)&gt;=0,0,'fertiliser demand calculation'!D17-'fertiliser demand calculation'!G17))</f>
        <v/>
      </c>
      <c r="N17" s="69" t="str">
        <f>IF('water demand calculation'!F13="","",IF(H17=0,0,P17*VLOOKUP($P$9,inputdata!$A$54:$D$58,2,0)/100+Q17*VLOOKUP($Q$9,inputdata!$A$60:$D$61,2,0)/100))</f>
        <v/>
      </c>
      <c r="O17" s="69" t="str">
        <f>IF('water demand calculation'!F13="","",IF(N17&gt;=H17,0,(H17-N17)/VLOOKUP('fertiliser demand calculation'!$O$9,inputdata!$A$63:$D$66,2,0)*100))</f>
        <v/>
      </c>
      <c r="P17" s="69" t="str">
        <f>IF('water demand calculation'!F13="","",IF(I17=0,0,(I17*2.29*100/VLOOKUP('fertiliser demand calculation'!$P$9,inputdata!$A$54:$D$66,3,0))))</f>
        <v/>
      </c>
      <c r="Q17" s="69" t="str">
        <f>IF('water demand calculation'!F13="","",IF(J17=0,0,(J17*1.2*100/VLOOKUP('fertiliser demand calculation'!$Q$9,inputdata!$A$54:$D$66,4,0))))</f>
        <v/>
      </c>
      <c r="S17" s="18" t="str">
        <f>IF('water demand calculation'!L13="","",IF(R17&gt;=N17,0,(N17-R17)/VLOOKUP('fertiliser demand calculation'!$O$9,inputdata!$A$63:$D$66,2,0)*100))</f>
        <v/>
      </c>
    </row>
    <row r="18" spans="1:19" x14ac:dyDescent="0.2">
      <c r="A18" s="65" t="str">
        <f>'water demand calculation'!A14</f>
        <v>lettuce and Green-Leaf Crops</v>
      </c>
      <c r="B18" s="70">
        <f>IF('water demand calculation'!F14="","",inputdata!J20*inputdata!M20)</f>
        <v>114</v>
      </c>
      <c r="C18" s="66">
        <f>IF('water demand calculation'!F14="","",inputdata!K20*inputdata!M20*0.44)</f>
        <v>15.84</v>
      </c>
      <c r="D18" s="66">
        <f>IF('water demand calculation'!F14="","",inputdata!L20*inputdata!M20*0.83)</f>
        <v>179.28</v>
      </c>
      <c r="E18" s="67">
        <f>IF('water demand calculation'!F14="","",'water demand calculation'!$E$3*'water demand calculation'!G14*0.5/1000)</f>
        <v>45.9</v>
      </c>
      <c r="F18" s="67">
        <f>IF('water demand calculation'!F14="","",'water demand calculation'!$F$3*'water demand calculation'!G14/1000)</f>
        <v>28.414285714285715</v>
      </c>
      <c r="G18" s="67">
        <f>IF('water demand calculation'!F14="","",'water demand calculation'!$G$3*'water demand calculation'!G14/1000)</f>
        <v>218.57142857142858</v>
      </c>
      <c r="H18" s="68">
        <f>IF('water demand calculation'!F14="","",IF((B18-E18-inputdata!$L$60)&lt;=0,0,IF((B18-E18-inputdata!$L$60-$G$6)&lt;=0,0,(B18-E18-inputdata!$L$60-$G$6))))</f>
        <v>68.099999999999994</v>
      </c>
      <c r="I18" s="68">
        <f>IF('water demand calculation'!F14="","",IF((C18-F18-inputdata!$L$58)&lt;=0,0,IF((C18-F18-inputdata!$L$58-$H$6)&lt;=0,0,(C18-F18-inputdata!$L$58-$H$6))))</f>
        <v>0</v>
      </c>
      <c r="J18" s="68">
        <f>IF('water demand calculation'!F14="","",IF((D18-G18-inputdata!$L$59)&lt;=0,0,IF((D18-G18-inputdata!$L$59-$I$6)&lt;=0,0,(D18-G18-inputdata!$L$59-$I$6))))</f>
        <v>0</v>
      </c>
      <c r="K18" s="24">
        <f>IF('water demand calculation'!$F14="","",IF(('fertiliser demand calculation'!B18-'fertiliser demand calculation'!E18-inputdata!$L$60)&gt;=0,0,'fertiliser demand calculation'!B18-'fertiliser demand calculation'!E18))</f>
        <v>0</v>
      </c>
      <c r="L18" s="24">
        <f>IF('water demand calculation'!$F14="","",IF(('fertiliser demand calculation'!C18-'fertiliser demand calculation'!F18-inputdata!$L$60)&gt;=0,0,'fertiliser demand calculation'!C18-'fertiliser demand calculation'!F18))</f>
        <v>-12.574285714285715</v>
      </c>
      <c r="M18" s="24">
        <f>IF('water demand calculation'!$F14="","",IF(('fertiliser demand calculation'!D18-'fertiliser demand calculation'!G18-inputdata!$L$60)&gt;=0,0,'fertiliser demand calculation'!D18-'fertiliser demand calculation'!G18))</f>
        <v>-39.291428571428582</v>
      </c>
      <c r="N18" s="69">
        <f>IF('water demand calculation'!F14="","",IF(H18=0,0,P18*VLOOKUP($P$9,inputdata!$A$54:$D$58,2,0)/100+Q18*VLOOKUP($Q$9,inputdata!$A$60:$D$61,2,0)/100))</f>
        <v>0</v>
      </c>
      <c r="O18" s="69">
        <f>IF('water demand calculation'!F14="","",IF(N18&gt;=H18,0,(H18-N18)/VLOOKUP('fertiliser demand calculation'!$O$9,inputdata!$A$63:$D$66,2,0)*100))</f>
        <v>148.04347826086953</v>
      </c>
      <c r="P18" s="69">
        <f>IF('water demand calculation'!F14="","",IF(I18=0,0,(I18*2.29*100/VLOOKUP('fertiliser demand calculation'!$P$9,inputdata!$A$54:$D$66,3,0))))</f>
        <v>0</v>
      </c>
      <c r="Q18" s="69">
        <f>IF('water demand calculation'!F14="","",IF(J18=0,0,(J18*1.2*100/VLOOKUP('fertiliser demand calculation'!$Q$9,inputdata!$A$54:$D$66,4,0))))</f>
        <v>0</v>
      </c>
      <c r="S18" s="18" t="str">
        <f>IF('water demand calculation'!L14="","",IF(R18&gt;=N18,0,(N18-R18)/VLOOKUP('fertiliser demand calculation'!$O$9,inputdata!$A$63:$D$66,2,0)*100))</f>
        <v/>
      </c>
    </row>
    <row r="19" spans="1:19" x14ac:dyDescent="0.2">
      <c r="A19" s="65" t="str">
        <f>'water demand calculation'!A15</f>
        <v xml:space="preserve">carrot </v>
      </c>
      <c r="B19" s="70">
        <f>IF('water demand calculation'!F15="","",inputdata!J21*inputdata!M21)</f>
        <v>72.5</v>
      </c>
      <c r="C19" s="66">
        <f>IF('water demand calculation'!F15="","",inputdata!K21*inputdata!M21*0.44)</f>
        <v>18.7</v>
      </c>
      <c r="D19" s="66">
        <f>IF('water demand calculation'!F15="","",inputdata!L21*inputdata!M21*0.83)</f>
        <v>85.074999999999989</v>
      </c>
      <c r="E19" s="67">
        <f>IF('water demand calculation'!F15="","",'water demand calculation'!$E$3*'water demand calculation'!G15*0.5/1000)</f>
        <v>59.798360655737703</v>
      </c>
      <c r="F19" s="67">
        <f>IF('water demand calculation'!F15="","",'water demand calculation'!$F$3*'water demand calculation'!G15/1000)</f>
        <v>37.01803278688525</v>
      </c>
      <c r="G19" s="67">
        <f>IF('water demand calculation'!F15="","",'water demand calculation'!$G$3*'water demand calculation'!G15/1000)</f>
        <v>284.75409836065569</v>
      </c>
      <c r="H19" s="68">
        <f>IF('water demand calculation'!F15="","",IF((B19-E19-inputdata!$L$60)&lt;=0,0,IF((B19-E19-inputdata!$L$60-$G$6)&lt;=0,0,(B19-E19-inputdata!$L$60-$G$6))))</f>
        <v>12.701639344262297</v>
      </c>
      <c r="I19" s="68">
        <f>IF('water demand calculation'!F15="","",IF((C19-F19-inputdata!$L$58)&lt;=0,0,IF((C19-F19-inputdata!$L$58-$H$6)&lt;=0,0,(C19-F19-inputdata!$L$58-$H$6))))</f>
        <v>0</v>
      </c>
      <c r="J19" s="68">
        <f>IF('water demand calculation'!F15="","",IF((D19-G19-inputdata!$L$59)&lt;=0,0,IF((D19-G19-inputdata!$L$59-$I$6)&lt;=0,0,(D19-G19-inputdata!$L$59-$I$6))))</f>
        <v>0</v>
      </c>
      <c r="K19" s="24">
        <f>IF('water demand calculation'!$F15="","",IF(('fertiliser demand calculation'!B19-'fertiliser demand calculation'!E19-inputdata!$L$60)&gt;=0,0,'fertiliser demand calculation'!B19-'fertiliser demand calculation'!E19))</f>
        <v>0</v>
      </c>
      <c r="L19" s="24">
        <f>IF('water demand calculation'!$F15="","",IF(('fertiliser demand calculation'!C19-'fertiliser demand calculation'!F19-inputdata!$L$60)&gt;=0,0,'fertiliser demand calculation'!C19-'fertiliser demand calculation'!F19))</f>
        <v>-18.318032786885251</v>
      </c>
      <c r="M19" s="24">
        <f>IF('water demand calculation'!$F15="","",IF(('fertiliser demand calculation'!D19-'fertiliser demand calculation'!G19-inputdata!$L$60)&gt;=0,0,'fertiliser demand calculation'!D19-'fertiliser demand calculation'!G19))</f>
        <v>-199.6790983606557</v>
      </c>
      <c r="N19" s="69">
        <f>IF('water demand calculation'!F15="","",IF(H19=0,0,P19*VLOOKUP($P$9,inputdata!$A$54:$D$58,2,0)/100+Q19*VLOOKUP($Q$9,inputdata!$A$60:$D$61,2,0)/100))</f>
        <v>0</v>
      </c>
      <c r="O19" s="69">
        <f>IF('water demand calculation'!F15="","",IF(N19&gt;=H19,0,(H19-N19)/VLOOKUP('fertiliser demand calculation'!$O$9,inputdata!$A$63:$D$66,2,0)*100))</f>
        <v>27.612259444048469</v>
      </c>
      <c r="P19" s="69">
        <f>IF('water demand calculation'!F15="","",IF(I19=0,0,(I19*2.29*100/VLOOKUP('fertiliser demand calculation'!$P$9,inputdata!$A$54:$D$66,3,0))))</f>
        <v>0</v>
      </c>
      <c r="Q19" s="69">
        <f>IF('water demand calculation'!F15="","",IF(J19=0,0,(J19*1.2*100/VLOOKUP('fertiliser demand calculation'!$Q$9,inputdata!$A$54:$D$66,4,0))))</f>
        <v>0</v>
      </c>
      <c r="S19" s="18" t="str">
        <f>IF('water demand calculation'!L15="","",IF(R19&gt;=N19,0,(N19-R19)/VLOOKUP('fertiliser demand calculation'!$O$9,inputdata!$A$63:$D$66,2,0)*100))</f>
        <v/>
      </c>
    </row>
    <row r="20" spans="1:19" x14ac:dyDescent="0.2">
      <c r="A20" s="65" t="str">
        <f>'water demand calculation'!A16</f>
        <v xml:space="preserve">Radish </v>
      </c>
      <c r="B20" s="70">
        <f>IF('water demand calculation'!F16="","",inputdata!J22*inputdata!M22)</f>
        <v>290</v>
      </c>
      <c r="C20" s="66">
        <f>IF('water demand calculation'!F16="","",inputdata!K22*inputdata!M22*0.44)</f>
        <v>41.36</v>
      </c>
      <c r="D20" s="66">
        <f>IF('water demand calculation'!F16="","",inputdata!L22*inputdata!M22*0.83)</f>
        <v>340.3</v>
      </c>
      <c r="E20" s="67">
        <f>IF('water demand calculation'!F16="","",'water demand calculation'!$E$3*'water demand calculation'!G16*0.5/1000)</f>
        <v>18.358937198067629</v>
      </c>
      <c r="F20" s="67">
        <f>IF('water demand calculation'!F16="","",'water demand calculation'!$F$3*'water demand calculation'!G16/1000)</f>
        <v>11.365056360708532</v>
      </c>
      <c r="G20" s="67">
        <f>IF('water demand calculation'!F16="","",'water demand calculation'!$G$3*'water demand calculation'!G16/1000)</f>
        <v>87.423510466988716</v>
      </c>
      <c r="H20" s="68">
        <f>IF('water demand calculation'!F16="","",IF((B20-E20-inputdata!$L$60)&lt;=0,0,IF((B20-E20-inputdata!$L$60-$G$6)&lt;=0,0,(B20-E20-inputdata!$L$60-$G$6))))</f>
        <v>271.64106280193238</v>
      </c>
      <c r="I20" s="68">
        <f>IF('water demand calculation'!F16="","",IF((C20-F20-inputdata!$L$58)&lt;=0,0,IF((C20-F20-inputdata!$L$58-$H$6)&lt;=0,0,(C20-F20-inputdata!$L$58-$H$6))))</f>
        <v>29.994943639291467</v>
      </c>
      <c r="J20" s="68">
        <f>IF('water demand calculation'!F16="","",IF((D20-G20-inputdata!$L$59)&lt;=0,0,IF((D20-G20-inputdata!$L$59-$I$6)&lt;=0,0,(D20-G20-inputdata!$L$59-$I$6))))</f>
        <v>252.87648953301129</v>
      </c>
      <c r="K20" s="24">
        <f>IF('water demand calculation'!$F16="","",IF(('fertiliser demand calculation'!B20-'fertiliser demand calculation'!E20-inputdata!$L$60)&gt;=0,0,'fertiliser demand calculation'!B20-'fertiliser demand calculation'!E20))</f>
        <v>0</v>
      </c>
      <c r="L20" s="24">
        <f>IF('water demand calculation'!$F16="","",IF(('fertiliser demand calculation'!C20-'fertiliser demand calculation'!F20-inputdata!$L$60)&gt;=0,0,'fertiliser demand calculation'!C20-'fertiliser demand calculation'!F20))</f>
        <v>0</v>
      </c>
      <c r="M20" s="24">
        <f>IF('water demand calculation'!$F16="","",IF(('fertiliser demand calculation'!D20-'fertiliser demand calculation'!G20-inputdata!$L$60)&gt;=0,0,'fertiliser demand calculation'!D20-'fertiliser demand calculation'!G20))</f>
        <v>0</v>
      </c>
      <c r="N20" s="69">
        <f>IF('water demand calculation'!F16="","",IF(H20=0,0,P20*VLOOKUP($P$9,inputdata!$A$54:$D$58,2,0)/100+Q20*VLOOKUP($Q$9,inputdata!$A$60:$D$61,2,0)/100))</f>
        <v>26.878077756773781</v>
      </c>
      <c r="O20" s="69">
        <f>IF('water demand calculation'!F16="","",IF(N20&gt;=H20,0,(H20-N20)/VLOOKUP('fertiliser demand calculation'!$O$9,inputdata!$A$63:$D$66,2,0)*100))</f>
        <v>532.09344575034481</v>
      </c>
      <c r="P20" s="69">
        <f>IF('water demand calculation'!F16="","",IF(I20=0,0,(I20*2.29*100/VLOOKUP('fertiliser demand calculation'!$P$9,inputdata!$A$54:$D$66,3,0))))</f>
        <v>149.3226542042988</v>
      </c>
      <c r="Q20" s="69">
        <f>IF('water demand calculation'!F16="","",IF(J20=0,0,(J20*1.2*100/VLOOKUP('fertiliser demand calculation'!$Q$9,inputdata!$A$54:$D$66,4,0))))</f>
        <v>606.90357487922711</v>
      </c>
      <c r="S20" s="18" t="str">
        <f>IF('water demand calculation'!L16="","",IF(R20&gt;=N20,0,(N20-R20)/VLOOKUP('fertiliser demand calculation'!$O$9,inputdata!$A$63:$D$66,2,0)*100))</f>
        <v/>
      </c>
    </row>
    <row r="21" spans="1:19" x14ac:dyDescent="0.2">
      <c r="A21" s="65" t="str">
        <f>'water demand calculation'!A17</f>
        <v>Millets</v>
      </c>
      <c r="B21" s="70">
        <f>IF('water demand calculation'!F17="","",inputdata!J23*inputdata!M23)</f>
        <v>42.84</v>
      </c>
      <c r="C21" s="66">
        <f>IF('water demand calculation'!F17="","",inputdata!K23*inputdata!M23*0.44)</f>
        <v>5.3855999999999993</v>
      </c>
      <c r="D21" s="66">
        <f>IF('water demand calculation'!F17="","",inputdata!L23*inputdata!M23*0.83)</f>
        <v>27.887999999999998</v>
      </c>
      <c r="E21" s="67">
        <f>IF('water demand calculation'!F17="","",'water demand calculation'!$E$3*'water demand calculation'!G17*0.5/1000)</f>
        <v>81.403636363636366</v>
      </c>
      <c r="F21" s="67">
        <f>IF('water demand calculation'!F17="","",'water demand calculation'!$F$3*'water demand calculation'!G17/1000)</f>
        <v>50.392727272727271</v>
      </c>
      <c r="G21" s="67">
        <f>IF('water demand calculation'!F17="","",'water demand calculation'!$G$3*'water demand calculation'!G17/1000)</f>
        <v>387.63636363636363</v>
      </c>
      <c r="H21" s="68">
        <f>IF('water demand calculation'!F17="","",IF((B21-E21-inputdata!$L$60)&lt;=0,0,IF((B21-E21-inputdata!$L$60-$G$6)&lt;=0,0,(B21-E21-inputdata!$L$60-$G$6))))</f>
        <v>0</v>
      </c>
      <c r="I21" s="68">
        <f>IF('water demand calculation'!F17="","",IF((C21-F21-inputdata!$L$58)&lt;=0,0,IF((C21-F21-inputdata!$L$58-$H$6)&lt;=0,0,(C21-F21-inputdata!$L$58-$H$6))))</f>
        <v>0</v>
      </c>
      <c r="J21" s="68">
        <f>IF('water demand calculation'!F17="","",IF((D21-G21-inputdata!$L$59)&lt;=0,0,IF((D21-G21-inputdata!$L$59-$I$6)&lt;=0,0,(D21-G21-inputdata!$L$59-$I$6))))</f>
        <v>0</v>
      </c>
      <c r="K21" s="24">
        <f>IF('water demand calculation'!$F17="","",IF(('fertiliser demand calculation'!B21-'fertiliser demand calculation'!E21-inputdata!$L$60)&gt;=0,0,'fertiliser demand calculation'!B21-'fertiliser demand calculation'!E21))</f>
        <v>-38.563636363636363</v>
      </c>
      <c r="L21" s="24">
        <f>IF('water demand calculation'!$F17="","",IF(('fertiliser demand calculation'!C21-'fertiliser demand calculation'!F21-inputdata!$L$60)&gt;=0,0,'fertiliser demand calculation'!C21-'fertiliser demand calculation'!F21))</f>
        <v>-45.007127272727274</v>
      </c>
      <c r="M21" s="24">
        <f>IF('water demand calculation'!$F17="","",IF(('fertiliser demand calculation'!D21-'fertiliser demand calculation'!G21-inputdata!$L$60)&gt;=0,0,'fertiliser demand calculation'!D21-'fertiliser demand calculation'!G21))</f>
        <v>-359.74836363636365</v>
      </c>
      <c r="N21" s="69">
        <f>IF('water demand calculation'!F17="","",IF(H21=0,0,P21*VLOOKUP($P$9,inputdata!$A$54:$D$58,2,0)/100+Q21*VLOOKUP($Q$9,inputdata!$A$60:$D$61,2,0)/100))</f>
        <v>0</v>
      </c>
      <c r="O21" s="69">
        <f>IF('water demand calculation'!F17="","",IF(N21&gt;=H21,0,(H21-N21)/VLOOKUP('fertiliser demand calculation'!$O$9,inputdata!$A$63:$D$66,2,0)*100))</f>
        <v>0</v>
      </c>
      <c r="P21" s="69">
        <f>IF('water demand calculation'!F17="","",IF(I21=0,0,(I21*2.29*100/VLOOKUP('fertiliser demand calculation'!$P$9,inputdata!$A$54:$D$66,3,0))))</f>
        <v>0</v>
      </c>
      <c r="Q21" s="69">
        <f>IF('water demand calculation'!F17="","",IF(J21=0,0,(J21*1.2*100/VLOOKUP('fertiliser demand calculation'!$Q$9,inputdata!$A$54:$D$66,4,0))))</f>
        <v>0</v>
      </c>
      <c r="S21" s="18" t="str">
        <f>IF('water demand calculation'!L17="","",IF(R21&gt;=N21,0,(N21-R21)/VLOOKUP('fertiliser demand calculation'!$O$9,inputdata!$A$63:$D$66,2,0)*100))</f>
        <v/>
      </c>
    </row>
    <row r="22" spans="1:19" x14ac:dyDescent="0.2">
      <c r="A22" s="65" t="str">
        <f>'water demand calculation'!A18</f>
        <v>tomato</v>
      </c>
      <c r="B22" s="70">
        <f>IF('water demand calculation'!F18="","",inputdata!J24*inputdata!M24)</f>
        <v>162</v>
      </c>
      <c r="C22" s="66">
        <f>IF('water demand calculation'!F18="","",inputdata!K24*inputdata!M24*0.44)</f>
        <v>20.195999999999998</v>
      </c>
      <c r="D22" s="66">
        <f>IF('water demand calculation'!F18="","",inputdata!L24*inputdata!M24*0.83)</f>
        <v>246.51</v>
      </c>
      <c r="E22" s="67">
        <f>IF('water demand calculation'!F18="","",'water demand calculation'!$E$3*'water demand calculation'!G18*0.5/1000)</f>
        <v>79.831818181818178</v>
      </c>
      <c r="F22" s="67">
        <f>IF('water demand calculation'!F18="","",'water demand calculation'!$F$3*'water demand calculation'!G18/1000)</f>
        <v>49.419696969696972</v>
      </c>
      <c r="G22" s="67">
        <f>IF('water demand calculation'!F18="","",'water demand calculation'!$G$3*'water demand calculation'!G18/1000)</f>
        <v>380.15151515151513</v>
      </c>
      <c r="H22" s="68">
        <f>IF('water demand calculation'!F18="","",IF((B22-E22-inputdata!$L$60)&lt;=0,0,IF((B22-E22-inputdata!$L$60-$G$6)&lt;=0,0,(B22-E22-inputdata!$L$60-$G$6))))</f>
        <v>82.168181818181822</v>
      </c>
      <c r="I22" s="68">
        <f>IF('water demand calculation'!F18="","",IF((C22-F22-inputdata!$L$58)&lt;=0,0,IF((C22-F22-inputdata!$L$58-$H$6)&lt;=0,0,(C22-F22-inputdata!$L$58-$H$6))))</f>
        <v>0</v>
      </c>
      <c r="J22" s="68">
        <f>IF('water demand calculation'!F18="","",IF((D22-G22-inputdata!$L$59)&lt;=0,0,IF((D22-G22-inputdata!$L$59-$I$6)&lt;=0,0,(D22-G22-inputdata!$L$59-$I$6))))</f>
        <v>0</v>
      </c>
      <c r="K22" s="24">
        <f>IF('water demand calculation'!$F18="","",IF(('fertiliser demand calculation'!B22-'fertiliser demand calculation'!E22-inputdata!$L$60)&gt;=0,0,'fertiliser demand calculation'!B22-'fertiliser demand calculation'!E22))</f>
        <v>0</v>
      </c>
      <c r="L22" s="24">
        <f>IF('water demand calculation'!$F18="","",IF(('fertiliser demand calculation'!C22-'fertiliser demand calculation'!F22-inputdata!$L$60)&gt;=0,0,'fertiliser demand calculation'!C22-'fertiliser demand calculation'!F22))</f>
        <v>-29.223696969696974</v>
      </c>
      <c r="M22" s="24">
        <f>IF('water demand calculation'!$F18="","",IF(('fertiliser demand calculation'!D22-'fertiliser demand calculation'!G22-inputdata!$L$60)&gt;=0,0,'fertiliser demand calculation'!D22-'fertiliser demand calculation'!G22))</f>
        <v>-133.64151515151514</v>
      </c>
      <c r="N22" s="69">
        <f>IF('water demand calculation'!F18="","",IF(H22=0,0,P22*VLOOKUP($P$9,inputdata!$A$54:$D$58,2,0)/100+Q22*VLOOKUP($Q$9,inputdata!$A$60:$D$61,2,0)/100))</f>
        <v>0</v>
      </c>
      <c r="O22" s="69">
        <f>IF('water demand calculation'!F18="","",IF(N22&gt;=H22,0,(H22-N22)/VLOOKUP('fertiliser demand calculation'!$O$9,inputdata!$A$63:$D$66,2,0)*100))</f>
        <v>178.62648221343875</v>
      </c>
      <c r="P22" s="69">
        <f>IF('water demand calculation'!F18="","",IF(I22=0,0,(I22*2.29*100/VLOOKUP('fertiliser demand calculation'!$P$9,inputdata!$A$54:$D$66,3,0))))</f>
        <v>0</v>
      </c>
      <c r="Q22" s="69">
        <f>IF('water demand calculation'!F18="","",IF(J22=0,0,(J22*1.2*100/VLOOKUP('fertiliser demand calculation'!$Q$9,inputdata!$A$54:$D$66,4,0))))</f>
        <v>0</v>
      </c>
      <c r="S22" s="18" t="str">
        <f>IF('water demand calculation'!L18="","",IF(R22&gt;=N22,0,(N22-R22)/VLOOKUP('fertiliser demand calculation'!$O$9,inputdata!$A$63:$D$66,2,0)*100))</f>
        <v/>
      </c>
    </row>
    <row r="23" spans="1:19" x14ac:dyDescent="0.2">
      <c r="A23" s="65" t="str">
        <f>'water demand calculation'!A19</f>
        <v>water melon</v>
      </c>
      <c r="B23" s="70" t="str">
        <f>IF('water demand calculation'!F19="","",inputdata!J25*inputdata!M25)</f>
        <v/>
      </c>
      <c r="C23" s="66" t="str">
        <f>IF('water demand calculation'!F19="","",inputdata!K25*inputdata!M25*0.44)</f>
        <v/>
      </c>
      <c r="D23" s="66" t="str">
        <f>IF('water demand calculation'!F19="","",inputdata!L25*inputdata!M25*0.83)</f>
        <v/>
      </c>
      <c r="E23" s="67" t="str">
        <f>IF('water demand calculation'!F19="","",'water demand calculation'!$E$3*'water demand calculation'!G19*0.5/1000)</f>
        <v/>
      </c>
      <c r="F23" s="67" t="str">
        <f>IF('water demand calculation'!F19="","",'water demand calculation'!$F$3*'water demand calculation'!G19/1000)</f>
        <v/>
      </c>
      <c r="G23" s="67" t="str">
        <f>IF('water demand calculation'!F19="","",'water demand calculation'!$G$3*'water demand calculation'!G19/1000)</f>
        <v/>
      </c>
      <c r="H23" s="68" t="str">
        <f>IF('water demand calculation'!F19="","",IF((B23-E23-inputdata!$L$60)&lt;=0,0,IF((B23-E23-inputdata!$L$60-$G$6)&lt;=0,0,(B23-E23-inputdata!$L$60-$G$6))))</f>
        <v/>
      </c>
      <c r="I23" s="68" t="str">
        <f>IF('water demand calculation'!F19="","",IF((C23-F23-inputdata!$L$58)&lt;=0,0,IF((C23-F23-inputdata!$L$58-$H$6)&lt;=0,0,(C23-F23-inputdata!$L$58-$H$6))))</f>
        <v/>
      </c>
      <c r="J23" s="68" t="str">
        <f>IF('water demand calculation'!F19="","",IF((D23-G23-inputdata!$L$59)&lt;=0,0,IF((D23-G23-inputdata!$L$59-$I$6)&lt;=0,0,(D23-G23-inputdata!$L$59-$I$6))))</f>
        <v/>
      </c>
      <c r="K23" s="24" t="str">
        <f>IF('water demand calculation'!$F19="","",IF(('fertiliser demand calculation'!B23-'fertiliser demand calculation'!E23-inputdata!$L$60)&gt;=0,0,'fertiliser demand calculation'!B23-'fertiliser demand calculation'!E23))</f>
        <v/>
      </c>
      <c r="L23" s="24" t="str">
        <f>IF('water demand calculation'!$F19="","",IF(('fertiliser demand calculation'!C23-'fertiliser demand calculation'!F23-inputdata!$L$60)&gt;=0,0,'fertiliser demand calculation'!C23-'fertiliser demand calculation'!F23))</f>
        <v/>
      </c>
      <c r="M23" s="24" t="str">
        <f>IF('water demand calculation'!$F19="","",IF(('fertiliser demand calculation'!D23-'fertiliser demand calculation'!G23-inputdata!$L$60)&gt;=0,0,'fertiliser demand calculation'!D23-'fertiliser demand calculation'!G23))</f>
        <v/>
      </c>
      <c r="N23" s="69" t="str">
        <f>IF('water demand calculation'!F19="","",IF(H23=0,0,P23*VLOOKUP($P$9,inputdata!$A$54:$D$58,2,0)/100+Q23*VLOOKUP($Q$9,inputdata!$A$60:$D$61,2,0)/100))</f>
        <v/>
      </c>
      <c r="O23" s="69" t="str">
        <f>IF('water demand calculation'!F19="","",IF(N23&gt;=H23,0,(H23-N23)/VLOOKUP('fertiliser demand calculation'!$O$9,inputdata!$A$63:$D$66,2,0)*100))</f>
        <v/>
      </c>
      <c r="P23" s="69" t="str">
        <f>IF('water demand calculation'!F19="","",IF(I23=0,0,(I23*2.29*100/VLOOKUP('fertiliser demand calculation'!$P$9,inputdata!$A$54:$D$66,3,0))))</f>
        <v/>
      </c>
      <c r="Q23" s="69" t="str">
        <f>IF('water demand calculation'!F19="","",IF(J23=0,0,(J23*1.2*100/VLOOKUP('fertiliser demand calculation'!$Q$9,inputdata!$A$54:$D$66,4,0))))</f>
        <v/>
      </c>
      <c r="S23" s="18" t="str">
        <f>IF('water demand calculation'!L19="","",IF(R23&gt;=N23,0,(N23-R23)/VLOOKUP('fertiliser demand calculation'!$O$9,inputdata!$A$63:$D$66,2,0)*100))</f>
        <v/>
      </c>
    </row>
    <row r="24" spans="1:19" x14ac:dyDescent="0.2">
      <c r="A24" s="65" t="str">
        <f>'water demand calculation'!A20</f>
        <v>cucumber</v>
      </c>
      <c r="B24" s="70">
        <f>IF('water demand calculation'!F20="","",inputdata!J26*inputdata!M26)</f>
        <v>26</v>
      </c>
      <c r="C24" s="66">
        <f>IF('water demand calculation'!F20="","",inputdata!K26*inputdata!M26*0.44)</f>
        <v>8.0079999999999991</v>
      </c>
      <c r="D24" s="66">
        <f>IF('water demand calculation'!F20="","",inputdata!L26*inputdata!M26*0.83)</f>
        <v>37.765000000000001</v>
      </c>
      <c r="E24" s="67">
        <f>IF('water demand calculation'!F20="","",'water demand calculation'!$E$3*'water demand calculation'!G20*0.5/1000)</f>
        <v>57.020833333333329</v>
      </c>
      <c r="F24" s="67">
        <f>IF('water demand calculation'!F20="","",'water demand calculation'!$F$3*'water demand calculation'!G20/1000)</f>
        <v>35.298611111111107</v>
      </c>
      <c r="G24" s="67">
        <f>IF('water demand calculation'!F20="","",'water demand calculation'!$G$3*'water demand calculation'!G20/1000)</f>
        <v>271.52777777777777</v>
      </c>
      <c r="H24" s="68">
        <f>IF('water demand calculation'!F20="","",IF((B24-E24-inputdata!$L$60)&lt;=0,0,IF((B24-E24-inputdata!$L$60-$G$6)&lt;=0,0,(B24-E24-inputdata!$L$60-$G$6))))</f>
        <v>0</v>
      </c>
      <c r="I24" s="68">
        <f>IF('water demand calculation'!F20="","",IF((C24-F24-inputdata!$L$58)&lt;=0,0,IF((C24-F24-inputdata!$L$58-$H$6)&lt;=0,0,(C24-F24-inputdata!$L$58-$H$6))))</f>
        <v>0</v>
      </c>
      <c r="J24" s="68">
        <f>IF('water demand calculation'!F20="","",IF((D24-G24-inputdata!$L$59)&lt;=0,0,IF((D24-G24-inputdata!$L$59-$I$6)&lt;=0,0,(D24-G24-inputdata!$L$59-$I$6))))</f>
        <v>0</v>
      </c>
      <c r="K24" s="24">
        <f>IF('water demand calculation'!$F20="","",IF(('fertiliser demand calculation'!B24-'fertiliser demand calculation'!E24-inputdata!$L$60)&gt;=0,0,'fertiliser demand calculation'!B24-'fertiliser demand calculation'!E24))</f>
        <v>-31.020833333333329</v>
      </c>
      <c r="L24" s="24">
        <f>IF('water demand calculation'!$F20="","",IF(('fertiliser demand calculation'!C24-'fertiliser demand calculation'!F24-inputdata!$L$60)&gt;=0,0,'fertiliser demand calculation'!C24-'fertiliser demand calculation'!F24))</f>
        <v>-27.290611111111108</v>
      </c>
      <c r="M24" s="24">
        <f>IF('water demand calculation'!$F20="","",IF(('fertiliser demand calculation'!D24-'fertiliser demand calculation'!G24-inputdata!$L$60)&gt;=0,0,'fertiliser demand calculation'!D24-'fertiliser demand calculation'!G24))</f>
        <v>-233.76277777777779</v>
      </c>
      <c r="N24" s="69">
        <f>IF('water demand calculation'!F20="","",IF(H24=0,0,P24*VLOOKUP($P$9,inputdata!$A$54:$D$58,2,0)/100+Q24*VLOOKUP($Q$9,inputdata!$A$60:$D$61,2,0)/100))</f>
        <v>0</v>
      </c>
      <c r="O24" s="69">
        <f>IF('water demand calculation'!F20="","",IF(N24&gt;=H24,0,(H24-N24)/VLOOKUP('fertiliser demand calculation'!$O$9,inputdata!$A$63:$D$66,2,0)*100))</f>
        <v>0</v>
      </c>
      <c r="P24" s="69">
        <f>IF('water demand calculation'!F20="","",IF(I24=0,0,(I24*2.29*100/VLOOKUP('fertiliser demand calculation'!$P$9,inputdata!$A$54:$D$66,3,0))))</f>
        <v>0</v>
      </c>
      <c r="Q24" s="69">
        <f>IF('water demand calculation'!F20="","",IF(J24=0,0,(J24*1.2*100/VLOOKUP('fertiliser demand calculation'!$Q$9,inputdata!$A$54:$D$66,4,0))))</f>
        <v>0</v>
      </c>
      <c r="S24" s="18" t="str">
        <f>IF('water demand calculation'!L20="","",IF(R24&gt;=N24,0,(N24-R24)/VLOOKUP('fertiliser demand calculation'!$O$9,inputdata!$A$63:$D$66,2,0)*100))</f>
        <v/>
      </c>
    </row>
    <row r="25" spans="1:19" x14ac:dyDescent="0.2">
      <c r="A25" s="65" t="str">
        <f>'water demand calculation'!A21</f>
        <v>eggplant</v>
      </c>
      <c r="B25" s="70">
        <f>IF('water demand calculation'!F21="","",inputdata!J27*inputdata!M27)</f>
        <v>72.8</v>
      </c>
      <c r="C25" s="66">
        <f>IF('water demand calculation'!F21="","",inputdata!K27*inputdata!M27*0.44)</f>
        <v>7.3920000000000003</v>
      </c>
      <c r="D25" s="66">
        <f>IF('water demand calculation'!F21="","",inputdata!L27*inputdata!M27*0.83)</f>
        <v>98.77</v>
      </c>
      <c r="E25" s="67">
        <f>IF('water demand calculation'!F21="","",'water demand calculation'!$E$3*'water demand calculation'!G21*0.5/1000)</f>
        <v>105.68703703703703</v>
      </c>
      <c r="F25" s="67">
        <f>IF('water demand calculation'!F21="","",'water demand calculation'!$F$3*'water demand calculation'!G21/1000)</f>
        <v>65.425308641975306</v>
      </c>
      <c r="G25" s="67">
        <f>IF('water demand calculation'!F21="","",'water demand calculation'!$G$3*'water demand calculation'!G21/1000)</f>
        <v>503.27160493827159</v>
      </c>
      <c r="H25" s="68">
        <f>IF('water demand calculation'!F21="","",IF((B25-E25-inputdata!$L$60)&lt;=0,0,IF((B25-E25-inputdata!$L$60-$G$6)&lt;=0,0,(B25-E25-inputdata!$L$60-$G$6))))</f>
        <v>0</v>
      </c>
      <c r="I25" s="68">
        <f>IF('water demand calculation'!F21="","",IF((C25-F25-inputdata!$L$58)&lt;=0,0,IF((C25-F25-inputdata!$L$58-$H$6)&lt;=0,0,(C25-F25-inputdata!$L$58-$H$6))))</f>
        <v>0</v>
      </c>
      <c r="J25" s="68">
        <f>IF('water demand calculation'!F21="","",IF((D25-G25-inputdata!$L$59)&lt;=0,0,IF((D25-G25-inputdata!$L$59-$I$6)&lt;=0,0,(D25-G25-inputdata!$L$59-$I$6))))</f>
        <v>0</v>
      </c>
      <c r="K25" s="24">
        <f>IF('water demand calculation'!$F21="","",IF(('fertiliser demand calculation'!B25-'fertiliser demand calculation'!E25-inputdata!$L$60)&gt;=0,0,'fertiliser demand calculation'!B25-'fertiliser demand calculation'!E25))</f>
        <v>-32.887037037037032</v>
      </c>
      <c r="L25" s="24">
        <f>IF('water demand calculation'!$F21="","",IF(('fertiliser demand calculation'!C25-'fertiliser demand calculation'!F25-inputdata!$L$60)&gt;=0,0,'fertiliser demand calculation'!C25-'fertiliser demand calculation'!F25))</f>
        <v>-58.033308641975303</v>
      </c>
      <c r="M25" s="24">
        <f>IF('water demand calculation'!$F21="","",IF(('fertiliser demand calculation'!D25-'fertiliser demand calculation'!G25-inputdata!$L$60)&gt;=0,0,'fertiliser demand calculation'!D25-'fertiliser demand calculation'!G25))</f>
        <v>-404.50160493827161</v>
      </c>
      <c r="N25" s="69">
        <f>IF('water demand calculation'!F21="","",IF(H25=0,0,P25*VLOOKUP($P$9,inputdata!$A$54:$D$58,2,0)/100+Q25*VLOOKUP($Q$9,inputdata!$A$60:$D$61,2,0)/100))</f>
        <v>0</v>
      </c>
      <c r="O25" s="69">
        <f>IF('water demand calculation'!F21="","",IF(N25&gt;=H25,0,(H25-N25)/VLOOKUP('fertiliser demand calculation'!$O$9,inputdata!$A$63:$D$66,2,0)*100))</f>
        <v>0</v>
      </c>
      <c r="P25" s="69">
        <f>IF('water demand calculation'!F21="","",IF(I25=0,0,(I25*2.29*100/VLOOKUP('fertiliser demand calculation'!$P$9,inputdata!$A$54:$D$66,3,0))))</f>
        <v>0</v>
      </c>
      <c r="Q25" s="69">
        <f>IF('water demand calculation'!F21="","",IF(J25=0,0,(J25*1.2*100/VLOOKUP('fertiliser demand calculation'!$Q$9,inputdata!$A$54:$D$66,4,0))))</f>
        <v>0</v>
      </c>
      <c r="S25" s="18" t="str">
        <f>IF('water demand calculation'!L21="","",IF(R25&gt;=N25,0,(N25-R25)/VLOOKUP('fertiliser demand calculation'!$O$9,inputdata!$A$63:$D$66,2,0)*100))</f>
        <v/>
      </c>
    </row>
    <row r="26" spans="1:19" x14ac:dyDescent="0.2">
      <c r="A26" s="65" t="str">
        <f>'water demand calculation'!A22</f>
        <v>pepper</v>
      </c>
      <c r="B26" s="70">
        <f>IF('water demand calculation'!F22="","",inputdata!J28*inputdata!M28)</f>
        <v>36.299999999999997</v>
      </c>
      <c r="C26" s="66">
        <f>IF('water demand calculation'!F22="","",inputdata!K28*inputdata!M28*0.44)</f>
        <v>3.8236000000000008</v>
      </c>
      <c r="D26" s="66">
        <f>IF('water demand calculation'!F22="","",inputdata!L28*inputdata!M28*0.83)</f>
        <v>40.172000000000004</v>
      </c>
      <c r="E26" s="67">
        <f>IF('water demand calculation'!F22="","",'water demand calculation'!$E$3*'water demand calculation'!G22*0.5/1000)</f>
        <v>116.90353535353533</v>
      </c>
      <c r="F26" s="67">
        <f>IF('water demand calculation'!F22="","",'water demand calculation'!$F$3*'water demand calculation'!G22/1000)</f>
        <v>72.368855218855217</v>
      </c>
      <c r="G26" s="67">
        <f>IF('water demand calculation'!F22="","",'water demand calculation'!$G$3*'water demand calculation'!G22/1000)</f>
        <v>556.68350168350162</v>
      </c>
      <c r="H26" s="68">
        <f>IF('water demand calculation'!F22="","",IF((B26-E26-inputdata!$L$60)&lt;=0,0,IF((B26-E26-inputdata!$L$60-$G$6)&lt;=0,0,(B26-E26-inputdata!$L$60-$G$6))))</f>
        <v>0</v>
      </c>
      <c r="I26" s="68">
        <f>IF('water demand calculation'!F22="","",IF((C26-F26-inputdata!$L$58)&lt;=0,0,IF((C26-F26-inputdata!$L$58-$H$6)&lt;=0,0,(C26-F26-inputdata!$L$58-$H$6))))</f>
        <v>0</v>
      </c>
      <c r="J26" s="68">
        <f>IF('water demand calculation'!F22="","",IF((D26-G26-inputdata!$L$59)&lt;=0,0,IF((D26-G26-inputdata!$L$59-$I$6)&lt;=0,0,(D26-G26-inputdata!$L$59-$I$6))))</f>
        <v>0</v>
      </c>
      <c r="K26" s="24">
        <f>IF('water demand calculation'!$F22="","",IF(('fertiliser demand calculation'!B26-'fertiliser demand calculation'!E26-inputdata!$L$60)&gt;=0,0,'fertiliser demand calculation'!B26-'fertiliser demand calculation'!E26))</f>
        <v>-80.603535353535335</v>
      </c>
      <c r="L26" s="24">
        <f>IF('water demand calculation'!$F22="","",IF(('fertiliser demand calculation'!C26-'fertiliser demand calculation'!F26-inputdata!$L$60)&gt;=0,0,'fertiliser demand calculation'!C26-'fertiliser demand calculation'!F26))</f>
        <v>-68.545255218855218</v>
      </c>
      <c r="M26" s="24">
        <f>IF('water demand calculation'!$F22="","",IF(('fertiliser demand calculation'!D26-'fertiliser demand calculation'!G26-inputdata!$L$60)&gt;=0,0,'fertiliser demand calculation'!D26-'fertiliser demand calculation'!G26))</f>
        <v>-516.51150168350159</v>
      </c>
      <c r="N26" s="69">
        <f>IF('water demand calculation'!F22="","",IF(H26=0,0,P26*VLOOKUP($P$9,inputdata!$A$54:$D$58,2,0)/100+Q26*VLOOKUP($Q$9,inputdata!$A$60:$D$61,2,0)/100))</f>
        <v>0</v>
      </c>
      <c r="O26" s="69">
        <f>IF('water demand calculation'!F22="","",IF(N26&gt;=H26,0,(H26-N26)/VLOOKUP('fertiliser demand calculation'!$O$9,inputdata!$A$63:$D$66,2,0)*100))</f>
        <v>0</v>
      </c>
      <c r="P26" s="69">
        <f>IF('water demand calculation'!F22="","",IF(I26=0,0,(I26*2.29*100/VLOOKUP('fertiliser demand calculation'!$P$9,inputdata!$A$54:$D$66,3,0))))</f>
        <v>0</v>
      </c>
      <c r="Q26" s="69">
        <f>IF('water demand calculation'!F22="","",IF(J26=0,0,(J26*1.2*100/VLOOKUP('fertiliser demand calculation'!$Q$9,inputdata!$A$54:$D$66,4,0))))</f>
        <v>0</v>
      </c>
      <c r="S26" s="18" t="str">
        <f>IF('water demand calculation'!L22="","",IF(R26&gt;=N26,0,(N26-R26)/VLOOKUP('fertiliser demand calculation'!$O$9,inputdata!$A$63:$D$66,2,0)*100))</f>
        <v/>
      </c>
    </row>
    <row r="27" spans="1:19" x14ac:dyDescent="0.2">
      <c r="A27" s="65" t="str">
        <f>'water demand calculation'!A23</f>
        <v>cauliflower</v>
      </c>
      <c r="B27" s="70">
        <f>IF('water demand calculation'!F23="","",inputdata!J29*inputdata!M29)</f>
        <v>53</v>
      </c>
      <c r="C27" s="66">
        <f>IF('water demand calculation'!F23="","",inputdata!K29*inputdata!M29*0.44)</f>
        <v>7.92</v>
      </c>
      <c r="D27" s="66">
        <f>IF('water demand calculation'!F23="","",inputdata!L29*inputdata!M29*0.83)</f>
        <v>66.399999999999991</v>
      </c>
      <c r="E27" s="67">
        <f>IF('water demand calculation'!F23="","",'water demand calculation'!$E$3*'water demand calculation'!G23*0.5/1000)</f>
        <v>62.416666666666664</v>
      </c>
      <c r="F27" s="67">
        <f>IF('water demand calculation'!F23="","",'water demand calculation'!$F$3*'water demand calculation'!G23/1000)</f>
        <v>38.638888888888893</v>
      </c>
      <c r="G27" s="67">
        <f>IF('water demand calculation'!F23="","",'water demand calculation'!$G$3*'water demand calculation'!G23/1000)</f>
        <v>297.22222222222217</v>
      </c>
      <c r="H27" s="68">
        <f>IF('water demand calculation'!F23="","",IF((B27-E27-inputdata!$L$60)&lt;=0,0,IF((B27-E27-inputdata!$L$60-$G$6)&lt;=0,0,(B27-E27-inputdata!$L$60-$G$6))))</f>
        <v>0</v>
      </c>
      <c r="I27" s="68">
        <f>IF('water demand calculation'!F23="","",IF((C27-F27-inputdata!$L$58)&lt;=0,0,IF((C27-F27-inputdata!$L$58-$H$6)&lt;=0,0,(C27-F27-inputdata!$L$58-$H$6))))</f>
        <v>0</v>
      </c>
      <c r="J27" s="68">
        <f>IF('water demand calculation'!F23="","",IF((D27-G27-inputdata!$L$59)&lt;=0,0,IF((D27-G27-inputdata!$L$59-$I$6)&lt;=0,0,(D27-G27-inputdata!$L$59-$I$6))))</f>
        <v>0</v>
      </c>
      <c r="K27" s="24">
        <f>IF('water demand calculation'!$F23="","",IF(('fertiliser demand calculation'!B27-'fertiliser demand calculation'!E27-inputdata!$L$60)&gt;=0,0,'fertiliser demand calculation'!B27-'fertiliser demand calculation'!E27))</f>
        <v>-9.4166666666666643</v>
      </c>
      <c r="L27" s="24">
        <f>IF('water demand calculation'!$F23="","",IF(('fertiliser demand calculation'!C27-'fertiliser demand calculation'!F27-inputdata!$L$60)&gt;=0,0,'fertiliser demand calculation'!C27-'fertiliser demand calculation'!F27))</f>
        <v>-30.718888888888891</v>
      </c>
      <c r="M27" s="24">
        <f>IF('water demand calculation'!$F23="","",IF(('fertiliser demand calculation'!D27-'fertiliser demand calculation'!G27-inputdata!$L$60)&gt;=0,0,'fertiliser demand calculation'!D27-'fertiliser demand calculation'!G27))</f>
        <v>-230.82222222222219</v>
      </c>
      <c r="N27" s="69">
        <f>IF('water demand calculation'!F23="","",IF(H27=0,0,P27*VLOOKUP($P$9,inputdata!$A$54:$D$58,2,0)/100+Q27*VLOOKUP($Q$9,inputdata!$A$60:$D$61,2,0)/100))</f>
        <v>0</v>
      </c>
      <c r="O27" s="69">
        <f>IF('water demand calculation'!F23="","",IF(N27&gt;=H27,0,(H27-N27)/VLOOKUP('fertiliser demand calculation'!$O$9,inputdata!$A$63:$D$66,2,0)*100))</f>
        <v>0</v>
      </c>
      <c r="P27" s="69">
        <f>IF('water demand calculation'!F23="","",IF(I27=0,0,(I27*2.29*100/VLOOKUP('fertiliser demand calculation'!$P$9,inputdata!$A$54:$D$66,3,0))))</f>
        <v>0</v>
      </c>
      <c r="Q27" s="69">
        <f>IF('water demand calculation'!F23="","",IF(J27=0,0,(J27*1.2*100/VLOOKUP('fertiliser demand calculation'!$Q$9,inputdata!$A$54:$D$66,4,0))))</f>
        <v>0</v>
      </c>
      <c r="S27" s="18" t="str">
        <f>IF('water demand calculation'!L23="","",IF(R27&gt;=N27,0,(N27-R27)/VLOOKUP('fertiliser demand calculation'!$O$9,inputdata!$A$63:$D$66,2,0)*100))</f>
        <v/>
      </c>
    </row>
    <row r="28" spans="1:19" x14ac:dyDescent="0.2">
      <c r="A28" s="65" t="str">
        <f>'water demand calculation'!A24</f>
        <v>olive tree</v>
      </c>
      <c r="B28" s="70" t="str">
        <f>IF('water demand calculation'!F24="","",inputdata!J30*inputdata!M30)</f>
        <v/>
      </c>
      <c r="C28" s="66" t="str">
        <f>IF('water demand calculation'!F24="","",inputdata!K30*inputdata!M30*0.44)</f>
        <v/>
      </c>
      <c r="D28" s="66" t="str">
        <f>IF('water demand calculation'!F24="","",inputdata!L30*inputdata!M30*0.83)</f>
        <v/>
      </c>
      <c r="E28" s="67" t="str">
        <f>IF('water demand calculation'!F24="","",'water demand calculation'!$E$3*'water demand calculation'!G24*0.5/1000)</f>
        <v/>
      </c>
      <c r="F28" s="67" t="str">
        <f>IF('water demand calculation'!F24="","",'water demand calculation'!$F$3*'water demand calculation'!G24/1000)</f>
        <v/>
      </c>
      <c r="G28" s="67" t="str">
        <f>IF('water demand calculation'!F24="","",'water demand calculation'!$G$3*'water demand calculation'!G24/1000)</f>
        <v/>
      </c>
      <c r="H28" s="68" t="str">
        <f>IF('water demand calculation'!F24="","",IF((B28-E28-inputdata!$L$60)&lt;=0,0,IF((B28-E28-inputdata!$L$60-$G$6)&lt;=0,0,(B28-E28-inputdata!$L$60-$G$6))))</f>
        <v/>
      </c>
      <c r="I28" s="68" t="str">
        <f>IF('water demand calculation'!F24="","",IF((C28-F28-inputdata!$L$58)&lt;=0,0,IF((C28-F28-inputdata!$L$58-$H$6)&lt;=0,0,(C28-F28-inputdata!$L$58-$H$6))))</f>
        <v/>
      </c>
      <c r="J28" s="68" t="str">
        <f>IF('water demand calculation'!F24="","",IF((D28-G28-inputdata!$L$59)&lt;=0,0,IF((D28-G28-inputdata!$L$59-$I$6)&lt;=0,0,(D28-G28-inputdata!$L$59-$I$6))))</f>
        <v/>
      </c>
      <c r="K28" s="24" t="str">
        <f>IF('water demand calculation'!$F24="","",IF(('fertiliser demand calculation'!B28-'fertiliser demand calculation'!E28-inputdata!$L$60)&gt;=0,0,'fertiliser demand calculation'!B28-'fertiliser demand calculation'!E28))</f>
        <v/>
      </c>
      <c r="L28" s="24" t="str">
        <f>IF('water demand calculation'!$F24="","",IF(('fertiliser demand calculation'!C28-'fertiliser demand calculation'!F28-inputdata!$L$60)&gt;=0,0,'fertiliser demand calculation'!C28-'fertiliser demand calculation'!F28))</f>
        <v/>
      </c>
      <c r="M28" s="24" t="str">
        <f>IF('water demand calculation'!$F24="","",IF(('fertiliser demand calculation'!D28-'fertiliser demand calculation'!G28-inputdata!$L$60)&gt;=0,0,'fertiliser demand calculation'!D28-'fertiliser demand calculation'!G28))</f>
        <v/>
      </c>
      <c r="N28" s="69" t="str">
        <f>IF('water demand calculation'!F24="","",IF(H28=0,0,P28*VLOOKUP($P$9,inputdata!$A$54:$D$58,2,0)/100+Q28*VLOOKUP($Q$9,inputdata!$A$60:$D$61,2,0)/100))</f>
        <v/>
      </c>
      <c r="O28" s="69" t="str">
        <f>IF('water demand calculation'!F24="","",IF(N28&gt;=H28,0,(H28-N28)/VLOOKUP('fertiliser demand calculation'!$O$9,inputdata!$A$63:$D$66,2,0)*100))</f>
        <v/>
      </c>
      <c r="P28" s="69" t="str">
        <f>IF('water demand calculation'!F24="","",IF(I28=0,0,(I28*2.29*100/VLOOKUP('fertiliser demand calculation'!$P$9,inputdata!$A$54:$D$66,3,0))))</f>
        <v/>
      </c>
      <c r="Q28" s="69" t="str">
        <f>IF('water demand calculation'!F24="","",IF(J28=0,0,(J28*1.2*100/VLOOKUP('fertiliser demand calculation'!$Q$9,inputdata!$A$54:$D$66,4,0))))</f>
        <v/>
      </c>
    </row>
    <row r="29" spans="1:19" x14ac:dyDescent="0.2">
      <c r="A29" s="65" t="str">
        <f>'water demand calculation'!A25</f>
        <v>palm tree</v>
      </c>
      <c r="B29" s="70" t="str">
        <f>IF('water demand calculation'!F25="","",inputdata!J31*inputdata!M31)</f>
        <v/>
      </c>
      <c r="C29" s="66" t="str">
        <f>IF('water demand calculation'!F25="","",inputdata!K31*inputdata!M31*0.44)</f>
        <v/>
      </c>
      <c r="D29" s="66" t="str">
        <f>IF('water demand calculation'!F25="","",inputdata!L31*inputdata!M31*0.83)</f>
        <v/>
      </c>
      <c r="E29" s="67" t="str">
        <f>IF('water demand calculation'!F25="","",'water demand calculation'!$E$3*'water demand calculation'!G25*0.5/1000)</f>
        <v/>
      </c>
      <c r="F29" s="67" t="str">
        <f>IF('water demand calculation'!F25="","",'water demand calculation'!$F$3*'water demand calculation'!G25/1000)</f>
        <v/>
      </c>
      <c r="G29" s="67" t="str">
        <f>IF('water demand calculation'!F25="","",'water demand calculation'!$G$3*'water demand calculation'!G25/1000)</f>
        <v/>
      </c>
      <c r="H29" s="68" t="str">
        <f>IF('water demand calculation'!F25="","",IF((B29-E29-inputdata!$L$60)&lt;=0,0,IF((B29-E29-inputdata!$L$60-$G$6)&lt;=0,0,(B29-E29-inputdata!$L$60-$G$6))))</f>
        <v/>
      </c>
      <c r="I29" s="68" t="str">
        <f>IF('water demand calculation'!F25="","",IF((C29-F29-inputdata!$L$58)&lt;=0,0,IF((C29-F29-inputdata!$L$58-$H$6)&lt;=0,0,(C29-F29-inputdata!$L$58-$H$6))))</f>
        <v/>
      </c>
      <c r="J29" s="68" t="str">
        <f>IF('water demand calculation'!F25="","",IF((D29-G29-inputdata!$L$59)&lt;=0,0,IF((D29-G29-inputdata!$L$59-$I$6)&lt;=0,0,(D29-G29-inputdata!$L$59-$I$6))))</f>
        <v/>
      </c>
      <c r="K29" s="24" t="str">
        <f>IF('water demand calculation'!$F25="","",IF(('fertiliser demand calculation'!B29-'fertiliser demand calculation'!E29-inputdata!$L$60)&gt;=0,0,'fertiliser demand calculation'!B29-'fertiliser demand calculation'!E29))</f>
        <v/>
      </c>
      <c r="L29" s="24" t="str">
        <f>IF('water demand calculation'!$F25="","",IF(('fertiliser demand calculation'!C29-'fertiliser demand calculation'!F29-inputdata!$L$60)&gt;=0,0,'fertiliser demand calculation'!C29-'fertiliser demand calculation'!F29))</f>
        <v/>
      </c>
      <c r="M29" s="24" t="str">
        <f>IF('water demand calculation'!$F25="","",IF(('fertiliser demand calculation'!D29-'fertiliser demand calculation'!G29-inputdata!$L$60)&gt;=0,0,'fertiliser demand calculation'!D29-'fertiliser demand calculation'!G29))</f>
        <v/>
      </c>
      <c r="N29" s="69" t="str">
        <f>IF('water demand calculation'!F25="","",IF(H29=0,0,P29*VLOOKUP($P$9,inputdata!$A$54:$D$58,2,0)/100+Q29*VLOOKUP($Q$9,inputdata!$A$60:$D$61,2,0)/100))</f>
        <v/>
      </c>
      <c r="O29" s="69" t="str">
        <f>IF('water demand calculation'!F25="","",IF(N29&gt;=H29,0,(H29-N29)/VLOOKUP('fertiliser demand calculation'!$O$9,inputdata!$A$63:$D$66,2,0)*100))</f>
        <v/>
      </c>
      <c r="P29" s="69" t="str">
        <f>IF('water demand calculation'!F25="","",IF(I29=0,0,(I29*2.29*100/VLOOKUP('fertiliser demand calculation'!$P$9,inputdata!$A$54:$D$66,3,0))))</f>
        <v/>
      </c>
      <c r="Q29" s="69" t="str">
        <f>IF('water demand calculation'!F25="","",IF(J29=0,0,(J29*1.2*100/VLOOKUP('fertiliser demand calculation'!$Q$9,inputdata!$A$54:$D$66,4,0))))</f>
        <v/>
      </c>
    </row>
    <row r="30" spans="1:19" x14ac:dyDescent="0.2">
      <c r="A30" s="65" t="str">
        <f>'water demand calculation'!A26</f>
        <v>alfalfa*</v>
      </c>
      <c r="B30" s="70" t="str">
        <f>IF('water demand calculation'!F26="","",inputdata!J32*inputdata!M32)</f>
        <v/>
      </c>
      <c r="C30" s="66" t="str">
        <f>IF('water demand calculation'!F26="","",inputdata!K32*inputdata!M32*0.44)</f>
        <v/>
      </c>
      <c r="D30" s="66" t="str">
        <f>IF('water demand calculation'!F26="","",inputdata!L32*inputdata!M32*0.83)</f>
        <v/>
      </c>
      <c r="E30" s="67" t="str">
        <f>IF('water demand calculation'!F26="","",'water demand calculation'!$E$3*'water demand calculation'!G26*0.5/1000)</f>
        <v/>
      </c>
      <c r="F30" s="67" t="str">
        <f>IF('water demand calculation'!F26="","",'water demand calculation'!$F$3*'water demand calculation'!G26/1000)</f>
        <v/>
      </c>
      <c r="G30" s="67" t="str">
        <f>IF('water demand calculation'!F26="","",'water demand calculation'!$G$3*'water demand calculation'!G26/1000)</f>
        <v/>
      </c>
      <c r="H30" s="68" t="str">
        <f>IF('water demand calculation'!F26="","",IF((B30-E30-inputdata!$L$60)&lt;=0,0,IF((B30-E30-inputdata!$L$60-$G$6)&lt;=0,0,(B30-E30-inputdata!$L$60-$G$6))))</f>
        <v/>
      </c>
      <c r="I30" s="68" t="str">
        <f>IF('water demand calculation'!F26="","",IF((C30-F30-inputdata!$L$58)&lt;=0,0,IF((C30-F30-inputdata!$L$58-$H$6)&lt;=0,0,(C30-F30-inputdata!$L$58-$H$6))))</f>
        <v/>
      </c>
      <c r="J30" s="68" t="str">
        <f>IF('water demand calculation'!F26="","",IF((D30-G30-inputdata!$L$59)&lt;=0,0,IF((D30-G30-inputdata!$L$59-$I$6)&lt;=0,0,(D30-G30-inputdata!$L$59-$I$6))))</f>
        <v/>
      </c>
      <c r="K30" s="24" t="str">
        <f>IF('water demand calculation'!$F26="","",IF(('fertiliser demand calculation'!B30-'fertiliser demand calculation'!E30-inputdata!$L$60)&gt;=0,0,'fertiliser demand calculation'!B30-'fertiliser demand calculation'!E30))</f>
        <v/>
      </c>
      <c r="L30" s="24" t="str">
        <f>IF('water demand calculation'!$F26="","",IF(('fertiliser demand calculation'!C30-'fertiliser demand calculation'!F30-inputdata!$L$60)&gt;=0,0,'fertiliser demand calculation'!C30-'fertiliser demand calculation'!F30))</f>
        <v/>
      </c>
      <c r="M30" s="24" t="str">
        <f>IF('water demand calculation'!$F26="","",IF(('fertiliser demand calculation'!D30-'fertiliser demand calculation'!G30-inputdata!$L$60)&gt;=0,0,'fertiliser demand calculation'!D30-'fertiliser demand calculation'!G30))</f>
        <v/>
      </c>
      <c r="N30" s="69" t="str">
        <f>IF('water demand calculation'!F26="","",IF(H30=0,0,P30*VLOOKUP($P$9,inputdata!$A$54:$D$58,2,0)/100+Q30*VLOOKUP($Q$9,inputdata!$A$60:$D$61,2,0)/100))</f>
        <v/>
      </c>
      <c r="O30" s="69" t="str">
        <f>IF('water demand calculation'!F26="","",IF(N30&gt;=H30,0,(H30-N30)/VLOOKUP('fertiliser demand calculation'!$O$9,inputdata!$A$63:$D$66,2,0)*100))</f>
        <v/>
      </c>
      <c r="P30" s="69" t="str">
        <f>IF('water demand calculation'!F26="","",IF(I30=0,0,(I30*2.29*100/VLOOKUP('fertiliser demand calculation'!$P$9,inputdata!$A$54:$D$66,3,0))))</f>
        <v/>
      </c>
      <c r="Q30" s="69" t="str">
        <f>IF('water demand calculation'!F26="","",IF(J30=0,0,(J30*1.2*100/VLOOKUP('fertiliser demand calculation'!$Q$9,inputdata!$A$54:$D$66,4,0))))</f>
        <v/>
      </c>
    </row>
    <row r="31" spans="1:19" x14ac:dyDescent="0.2">
      <c r="A31" s="24"/>
      <c r="E31" s="67" t="str">
        <f>IF('water demand calculation'!F27="","",'water demand calculation'!$E$3*'water demand calculation'!G27*0.75/1000)</f>
        <v/>
      </c>
      <c r="H31" s="68" t="str">
        <f>IF('water demand calculation'!E27="","",IF((B31-E31-inputdata!$L$60)&lt;=0,0,IF((B31-E31-inputdata!$L$60-$G$6)&lt;=0,0,(B31-E31-inputdata!$L$60-$G$6))))</f>
        <v/>
      </c>
      <c r="I31" s="68" t="str">
        <f>IF('water demand calculation'!E27="","",IF((C31-F31-inputdata!$L$58)&lt;=0,0,IF((C31-F31-inputdata!$L$58-$H$6)&lt;=0,0,(C31-F31-inputdata!$L$58-$H$6))))</f>
        <v/>
      </c>
      <c r="J31" s="24"/>
      <c r="K31" s="24"/>
      <c r="L31" s="24"/>
      <c r="M31" s="24"/>
      <c r="N31" s="24"/>
      <c r="O31" s="24"/>
      <c r="P31" s="24"/>
      <c r="Q31" s="24"/>
    </row>
    <row r="32" spans="1:19" ht="15" customHeight="1" x14ac:dyDescent="0.2">
      <c r="A32" s="24"/>
      <c r="H32" s="24"/>
      <c r="I32" s="24"/>
      <c r="J32" s="24"/>
      <c r="K32" s="24"/>
      <c r="L32" s="24"/>
      <c r="M32" s="24"/>
      <c r="N32" s="24"/>
    </row>
    <row r="33" spans="1:20" ht="51" customHeight="1" x14ac:dyDescent="0.2">
      <c r="A33" s="24"/>
      <c r="B33" s="520" t="s">
        <v>198</v>
      </c>
      <c r="C33" s="502" t="s">
        <v>102</v>
      </c>
      <c r="D33" s="502"/>
      <c r="E33" s="502"/>
      <c r="F33" s="511" t="s">
        <v>164</v>
      </c>
      <c r="G33" s="512"/>
      <c r="H33" s="512"/>
      <c r="I33" s="81"/>
      <c r="J33" s="513" t="s">
        <v>165</v>
      </c>
      <c r="K33" s="514"/>
      <c r="L33" s="514"/>
      <c r="M33" s="81"/>
      <c r="N33" s="515" t="s">
        <v>166</v>
      </c>
      <c r="O33" s="516"/>
      <c r="P33" s="516"/>
      <c r="Q33" s="81"/>
      <c r="R33" s="24"/>
      <c r="S33" s="24"/>
      <c r="T33" s="24"/>
    </row>
    <row r="34" spans="1:20" ht="40.5" customHeight="1" x14ac:dyDescent="0.2">
      <c r="A34" s="522" t="str">
        <f>Table1[[#Headers],[crops ]]</f>
        <v xml:space="preserve">crops </v>
      </c>
      <c r="B34" s="521"/>
      <c r="C34" s="133" t="s">
        <v>202</v>
      </c>
      <c r="D34" s="133" t="s">
        <v>201</v>
      </c>
      <c r="E34" s="56" t="s">
        <v>200</v>
      </c>
      <c r="F34" s="57" t="s">
        <v>146</v>
      </c>
      <c r="G34" s="57" t="s">
        <v>121</v>
      </c>
      <c r="H34" s="57" t="s">
        <v>122</v>
      </c>
      <c r="I34" s="82" t="str">
        <f>Variable!A49</f>
        <v>Urea</v>
      </c>
      <c r="J34" s="73" t="s">
        <v>146</v>
      </c>
      <c r="K34" s="73" t="s">
        <v>121</v>
      </c>
      <c r="L34" s="73" t="s">
        <v>122</v>
      </c>
      <c r="M34" s="82" t="str">
        <f>Variable!B49</f>
        <v>Diammonium phosphate</v>
      </c>
      <c r="N34" s="74" t="s">
        <v>146</v>
      </c>
      <c r="O34" s="74" t="s">
        <v>121</v>
      </c>
      <c r="P34" s="74" t="s">
        <v>122</v>
      </c>
      <c r="Q34" s="82" t="str">
        <f>Variable!C49</f>
        <v>Potassium sulphate</v>
      </c>
    </row>
    <row r="35" spans="1:20" x14ac:dyDescent="0.2">
      <c r="A35" s="523"/>
      <c r="B35" s="4" t="s">
        <v>197</v>
      </c>
      <c r="C35" s="517" t="s">
        <v>199</v>
      </c>
      <c r="D35" s="518"/>
      <c r="E35" s="519"/>
      <c r="F35" s="511" t="s">
        <v>48</v>
      </c>
      <c r="G35" s="512"/>
      <c r="H35" s="525"/>
      <c r="I35" s="83" t="s">
        <v>182</v>
      </c>
      <c r="J35" s="507" t="s">
        <v>49</v>
      </c>
      <c r="K35" s="508"/>
      <c r="L35" s="508"/>
      <c r="M35" s="83" t="s">
        <v>181</v>
      </c>
      <c r="N35" s="509" t="s">
        <v>50</v>
      </c>
      <c r="O35" s="510"/>
      <c r="P35" s="510"/>
      <c r="Q35" s="83" t="s">
        <v>180</v>
      </c>
    </row>
    <row r="36" spans="1:20" x14ac:dyDescent="0.2">
      <c r="A36" s="65" t="str">
        <f>inputdata!A13</f>
        <v xml:space="preserve">wheat </v>
      </c>
      <c r="B36" s="1">
        <f>'water demand calculation'!D31</f>
        <v>1032.8913073010872</v>
      </c>
      <c r="C36">
        <f>IF(B36="","",inputdata!J13*inputdata!M13)</f>
        <v>186.32</v>
      </c>
      <c r="D36">
        <f>IF(B36="","",inputdata!K13*inputdata!M13*0.44)</f>
        <v>24.111999999999998</v>
      </c>
      <c r="E36">
        <f>IF(B36="","",inputdata!L13*inputdata!M13*0.83)</f>
        <v>209.22639999999996</v>
      </c>
      <c r="F36" t="str">
        <f>IF('water demand calculation'!F31="","",IF((C36-'water demand calculation'!$E$3*'water demand calculation'!F31*0.75/1000-inputdata!$L$60)&lt;=0,0,IF((C36-'water demand calculation'!$E$3*'water demand calculation'!F31*0.75/1000-inputdata!$L$60-'fertiliser demand calculation'!$G$6)&lt;=0,0,C36-'water demand calculation'!$E$3*'water demand calculation'!F31*0.75/1000-inputdata!$L$60-'fertiliser demand calculation'!$G$6)))</f>
        <v/>
      </c>
      <c r="G36">
        <f>IF('water demand calculation'!G31="","",IF((C36-'water demand calculation'!$E$3*'water demand calculation'!G31*0.75/1000-inputdata!$L$60)&lt;=0,0,IF((C36-'water demand calculation'!$E$3*'water demand calculation'!G31*0.75/1000-inputdata!$L$60-'fertiliser demand calculation'!$G$6)&lt;=0,0,C36-'water demand calculation'!$E$3*'water demand calculation'!G31*0.75/1000-inputdata!$L$60-'fertiliser demand calculation'!$G$6)))</f>
        <v>63.718181818181819</v>
      </c>
      <c r="H36" t="str">
        <f>IF('water demand calculation'!H31="","",IF((C36-'water demand calculation'!$E$3*'water demand calculation'!H31*0.75/1000-inputdata!$L$60)&lt;=0,0,IF((C36-'water demand calculation'!$E$3*'water demand calculation'!H31*0.75/1000-inputdata!$L$60-'fertiliser demand calculation'!$G$6)&lt;=0,0,C36-'water demand calculation'!$E$3*'water demand calculation'!H31*0.75/1000-inputdata!$L$60-'fertiliser demand calculation'!$G$6)))</f>
        <v/>
      </c>
      <c r="I36">
        <f>IF(AND(F36="",G36="",H36=""),"",IF((SUM(F36:H36))=0,0,IF((M36*VLOOKUP($P$9,inputdata!$A$54:$D$58,2,0)/100+Q36*VLOOKUP($Q$9,inputdata!$A$60:$D$61,2,0)/100)&gt;=(SUM(F36:H36))*B36/1000,0,(((SUM(F36:H36))*B36/1000-(M36*VLOOKUP($P$9,inputdata!$A$54:$D$58,2,0)/100+Q36*VLOOKUP($Q$9,inputdata!$A$60:$D$61,2,0)/100))/VLOOKUP($O$9,inputdata!$A$63:$D$66,2,0)*100))))</f>
        <v>143.07381764571781</v>
      </c>
      <c r="J36" t="str">
        <f>IF('water demand calculation'!F31="","",IF(($D36-'water demand calculation'!$F$3*'water demand calculation'!F31/1000-inputdata!$L$58)&lt;=0,0,IF(($D36-'water demand calculation'!$F$3*'water demand calculation'!F31/1000-inputdata!$L$58-'fertiliser demand calculation'!$H$6)&lt;=0,0,$D36-'water demand calculation'!$F$3*'water demand calculation'!F31/1000-inputdata!$L$58-'fertiliser demand calculation'!$H$6)))</f>
        <v/>
      </c>
      <c r="K36">
        <f>IF('water demand calculation'!G31="","",IF(($D36-'water demand calculation'!$F$3*'water demand calculation'!G31/1000-inputdata!$L$58)&lt;=0,0,IF(($D36-'water demand calculation'!$F$3*'water demand calculation'!G31/1000-inputdata!$L$58-'fertiliser demand calculation'!$H$6)&lt;=0,0,$D36-'water demand calculation'!$F$3*'water demand calculation'!G31/1000-inputdata!$L$58-'fertiliser demand calculation'!$H$6)))</f>
        <v>0</v>
      </c>
      <c r="L36" t="str">
        <f>IF('water demand calculation'!H31="","",IF(($D36-'water demand calculation'!$F$3*'water demand calculation'!H31/1000-inputdata!$L$58)&lt;=0,0,IF(($D36-'water demand calculation'!$F$3*'water demand calculation'!H31/1000-inputdata!$L$58-'fertiliser demand calculation'!$H$6)&lt;=0,0,$D36-'water demand calculation'!$F$3*'water demand calculation'!H31/1000-inputdata!$L$58-'fertiliser demand calculation'!$H$6)))</f>
        <v/>
      </c>
      <c r="M36">
        <f>IF(AND(J36="",K36="",L36=""),"",IF((SUM(J36:L36)*2.29*100/VLOOKUP('fertiliser demand calculation'!$P$9,inputdata!$A$54:$D$66,3,0))=0,0,((SUM(J36:L36)*2.29*100/VLOOKUP('fertiliser demand calculation'!$P$9,inputdata!$A$54:$D$66,3,0)))*B36/1000))</f>
        <v>0</v>
      </c>
      <c r="N36" t="str">
        <f>IF('water demand calculation'!F31="","",IF(($E36-'water demand calculation'!$G$3*'water demand calculation'!F31/1000-inputdata!$L$59)&lt;=0,0,IF(($E36-'water demand calculation'!$G$3*'water demand calculation'!F31/1000-inputdata!$L$59-'fertiliser demand calculation'!$I$6)&lt;=0,0,$E36-'water demand calculation'!$G$3*'water demand calculation'!F31/1000-inputdata!$L$59-'fertiliser demand calculation'!$I$6)))</f>
        <v/>
      </c>
      <c r="O36">
        <f>IF('water demand calculation'!G31="","",IF(($E36-'water demand calculation'!$G$3*'water demand calculation'!G31/1000-inputdata!$L$59)&lt;=0,0,IF(($E36-'water demand calculation'!$G$3*'water demand calculation'!G31/1000-inputdata!$L$59-'fertiliser demand calculation'!$I$6)&lt;=0,0,$E36-'water demand calculation'!$G$3*'water demand calculation'!G31/1000-inputdata!$L$59-'fertiliser demand calculation'!$I$6)))</f>
        <v>0</v>
      </c>
      <c r="P36" t="str">
        <f>IF('water demand calculation'!H31="","",IF(($E36-'water demand calculation'!$G$3*'water demand calculation'!H31/1000-inputdata!$L$59)&lt;=0,0,IF(($E36-'water demand calculation'!$G$3*'water demand calculation'!H31/1000-inputdata!$L$59-'fertiliser demand calculation'!$I$6)&lt;=0,0,$E36-'water demand calculation'!$G$3*'water demand calculation'!H31/1000-inputdata!$L$59-'fertiliser demand calculation'!$I$6)))</f>
        <v/>
      </c>
      <c r="Q36">
        <f>IF(AND(N36="",O36="",P36=""),"",IF((SUM(N36:P36)*1.2*100/VLOOKUP('fertiliser demand calculation'!$Q$9,inputdata!$A$54:$D$66,4,0))=0,0,(SUM(N36:P36)*1.2*100/VLOOKUP('fertiliser demand calculation'!$Q$9,inputdata!$A$54:$D$66,4,0))*B36/1000))</f>
        <v>0</v>
      </c>
    </row>
    <row r="37" spans="1:20" x14ac:dyDescent="0.2">
      <c r="A37" s="65" t="str">
        <f>inputdata!A14</f>
        <v>barley</v>
      </c>
      <c r="B37" s="1">
        <f>'water demand calculation'!D32</f>
        <v>1032.8913073010872</v>
      </c>
      <c r="C37">
        <f>IF(B37="","",inputdata!J14*inputdata!M14)</f>
        <v>121</v>
      </c>
      <c r="D37">
        <f>IF(B37="","",inputdata!K14*inputdata!M14*0.44)</f>
        <v>22.263999999999999</v>
      </c>
      <c r="E37">
        <f>IF(B37="","",inputdata!L14*inputdata!M14*0.83)</f>
        <v>164.34</v>
      </c>
      <c r="F37" t="str">
        <f>IF('water demand calculation'!F32="","",IF((C37-'water demand calculation'!$E$3*'water demand calculation'!F32*0.75/1000-inputdata!$L$60)&lt;=0,0,IF((C37-'water demand calculation'!$E$3*'water demand calculation'!F32*0.75/1000-inputdata!$L$60-'fertiliser demand calculation'!$G$6)&lt;=0,0,C37-'water demand calculation'!$E$3*'water demand calculation'!F32*0.75/1000-inputdata!$L$60-'fertiliser demand calculation'!$G$6)))</f>
        <v/>
      </c>
      <c r="G37">
        <f>IF('water demand calculation'!G32="","",IF((C37-'water demand calculation'!$E$3*'water demand calculation'!G32*0.75/1000-inputdata!$L$60)&lt;=0,0,IF((C37-'water demand calculation'!$E$3*'water demand calculation'!G32*0.75/1000-inputdata!$L$60-'fertiliser demand calculation'!$G$6)&lt;=0,0,C37-'water demand calculation'!$E$3*'water demand calculation'!G32*0.75/1000-inputdata!$L$60-'fertiliser demand calculation'!$G$6)))</f>
        <v>35.713750000000005</v>
      </c>
      <c r="H37" t="str">
        <f>IF('water demand calculation'!H32="","",IF((C37-'water demand calculation'!$E$3*'water demand calculation'!H32*0.75/1000-inputdata!$L$60)&lt;=0,0,IF((C37-'water demand calculation'!$E$3*'water demand calculation'!H32*0.75/1000-inputdata!$L$60-'fertiliser demand calculation'!$G$6)&lt;=0,0,C37-'water demand calculation'!$E$3*'water demand calculation'!H32*0.75/1000-inputdata!$L$60-'fertiliser demand calculation'!$G$6)))</f>
        <v/>
      </c>
      <c r="I37">
        <f>IF(AND(F37="",G37="",H37=""),"",IF((SUM(F37:H37))=0,0,IF((M37*VLOOKUP($P$9,inputdata!$A$54:$D$58,2,0)/100+Q37*VLOOKUP($Q$9,inputdata!$A$60:$D$61,2,0)/100)&gt;=(SUM(F37:H37))*B37/1000,0,(((SUM(F37:H37))*B37/1000-(M37*VLOOKUP($P$9,inputdata!$A$54:$D$58,2,0)/100+Q37*VLOOKUP($Q$9,inputdata!$A$60:$D$61,2,0)/100))/VLOOKUP($O$9,inputdata!$A$63:$D$66,2,0)*100))))</f>
        <v>80.192221578530891</v>
      </c>
      <c r="J37" t="str">
        <f>IF('water demand calculation'!F32="","",IF(($D37-'water demand calculation'!$F$3*'water demand calculation'!F32/1000-inputdata!$L$58)&lt;=0,0,IF(($D37-'water demand calculation'!$F$3*'water demand calculation'!F32/1000-inputdata!$L$58-'fertiliser demand calculation'!$H$6)&lt;=0,0,$D37-'water demand calculation'!$F$3*'water demand calculation'!F32/1000-inputdata!$L$58-'fertiliser demand calculation'!$H$6)))</f>
        <v/>
      </c>
      <c r="K37">
        <f>IF('water demand calculation'!G32="","",IF(($D37-'water demand calculation'!$F$3*'water demand calculation'!G32/1000-inputdata!$L$58)&lt;=0,0,IF(($D37-'water demand calculation'!$F$3*'water demand calculation'!G32/1000-inputdata!$L$58-'fertiliser demand calculation'!$H$6)&lt;=0,0,$D37-'water demand calculation'!$F$3*'water demand calculation'!G32/1000-inputdata!$L$58-'fertiliser demand calculation'!$H$6)))</f>
        <v>0</v>
      </c>
      <c r="L37" t="str">
        <f>IF('water demand calculation'!H32="","",IF(($D37-'water demand calculation'!$F$3*'water demand calculation'!H32/1000-inputdata!$L$58)&lt;=0,0,IF(($D37-'water demand calculation'!$F$3*'water demand calculation'!H32/1000-inputdata!$L$58-'fertiliser demand calculation'!$H$6)&lt;=0,0,$D37-'water demand calculation'!$F$3*'water demand calculation'!H32/1000-inputdata!$L$58-'fertiliser demand calculation'!$H$6)))</f>
        <v/>
      </c>
      <c r="M37">
        <f>IF(AND(J37="",K37="",L37=""),"",IF((SUM(J37:L37)*2.29*100/VLOOKUP('fertiliser demand calculation'!$P$9,inputdata!$A$54:$D$66,3,0))=0,0,((SUM(J37:L37)*2.29*100/VLOOKUP('fertiliser demand calculation'!$P$9,inputdata!$A$54:$D$66,3,0)))*B37/1000))</f>
        <v>0</v>
      </c>
      <c r="N37" t="str">
        <f>IF('water demand calculation'!F32="","",IF(($E37-'water demand calculation'!$G$3*'water demand calculation'!F32/1000-inputdata!$L$59)&lt;=0,0,IF(($E37-'water demand calculation'!$G$3*'water demand calculation'!F32/1000-inputdata!$L$59-'fertiliser demand calculation'!$I$6)&lt;=0,0,$E37-'water demand calculation'!$G$3*'water demand calculation'!F32/1000-inputdata!$L$59-'fertiliser demand calculation'!$I$6)))</f>
        <v/>
      </c>
      <c r="O37">
        <f>IF('water demand calculation'!G32="","",IF(($E37-'water demand calculation'!$G$3*'water demand calculation'!G32/1000-inputdata!$L$59)&lt;=0,0,IF(($E37-'water demand calculation'!$G$3*'water demand calculation'!G32/1000-inputdata!$L$59-'fertiliser demand calculation'!$I$6)&lt;=0,0,$E37-'water demand calculation'!$G$3*'water demand calculation'!G32/1000-inputdata!$L$59-'fertiliser demand calculation'!$I$6)))</f>
        <v>0</v>
      </c>
      <c r="P37" t="str">
        <f>IF('water demand calculation'!H32="","",IF(($E37-'water demand calculation'!$G$3*'water demand calculation'!H32/1000-inputdata!$L$59)&lt;=0,0,IF(($E37-'water demand calculation'!$G$3*'water demand calculation'!H32/1000-inputdata!$L$59-'fertiliser demand calculation'!$I$6)&lt;=0,0,$E37-'water demand calculation'!$G$3*'water demand calculation'!H32/1000-inputdata!$L$59-'fertiliser demand calculation'!$I$6)))</f>
        <v/>
      </c>
      <c r="Q37">
        <f>IF(AND(N37="",O37="",P37=""),"",IF((SUM(N37:P37)*1.2*100/VLOOKUP('fertiliser demand calculation'!$Q$9,inputdata!$A$54:$D$66,4,0))=0,0,(SUM(N37:P37)*1.2*100/VLOOKUP('fertiliser demand calculation'!$Q$9,inputdata!$A$54:$D$66,4,0))*B37/1000))</f>
        <v>0</v>
      </c>
    </row>
    <row r="38" spans="1:20" x14ac:dyDescent="0.2">
      <c r="A38" s="65" t="str">
        <f>inputdata!A15</f>
        <v>peas*</v>
      </c>
      <c r="B38" s="1" t="str">
        <f>'water demand calculation'!D33</f>
        <v/>
      </c>
      <c r="C38" t="str">
        <f>IF(B38="","",inputdata!J15*inputdata!M15)</f>
        <v/>
      </c>
      <c r="D38" t="str">
        <f>IF(B38="","",inputdata!K15*inputdata!M15*0.44)</f>
        <v/>
      </c>
      <c r="E38" t="str">
        <f>IF(B38="","",inputdata!L15*inputdata!M15*0.83)</f>
        <v/>
      </c>
      <c r="F38" t="str">
        <f>IF('water demand calculation'!F33="","",IF((C38-'water demand calculation'!$E$3*'water demand calculation'!F33*0.75/1000-inputdata!$L$60)&lt;=0,0,IF((C38-'water demand calculation'!$E$3*'water demand calculation'!F33*0.75/1000-inputdata!$L$60-'fertiliser demand calculation'!$G$6)&lt;=0,0,C38-'water demand calculation'!$E$3*'water demand calculation'!F33*0.75/1000-inputdata!$L$60-'fertiliser demand calculation'!$G$6)))</f>
        <v/>
      </c>
      <c r="G38" t="str">
        <f>IF('water demand calculation'!G33="","",IF((C38-'water demand calculation'!$E$3*'water demand calculation'!G33*0.75/1000-inputdata!$L$60)&lt;=0,0,IF((C38-'water demand calculation'!$E$3*'water demand calculation'!G33*0.75/1000-inputdata!$L$60-'fertiliser demand calculation'!$G$6)&lt;=0,0,C38-'water demand calculation'!$E$3*'water demand calculation'!G33*0.75/1000-inputdata!$L$60-'fertiliser demand calculation'!$G$6)))</f>
        <v/>
      </c>
      <c r="H38" t="str">
        <f>IF('water demand calculation'!H33="","",IF((C38-'water demand calculation'!$E$3*'water demand calculation'!H33*0.75/1000-inputdata!$L$60)&lt;=0,0,IF((C38-'water demand calculation'!$E$3*'water demand calculation'!H33*0.75/1000-inputdata!$L$60-'fertiliser demand calculation'!$G$6)&lt;=0,0,C38-'water demand calculation'!$E$3*'water demand calculation'!H33*0.75/1000-inputdata!$L$60-'fertiliser demand calculation'!$G$6)))</f>
        <v/>
      </c>
      <c r="I38" t="str">
        <f>IF(AND(F38="",G38="",H38=""),"",IF((SUM(F38:H38))=0,0,IF((M38*VLOOKUP($P$9,inputdata!$A$54:$D$58,2,0)/100+Q38*VLOOKUP($Q$9,inputdata!$A$60:$D$61,2,0)/100)&gt;=(SUM(F38:H38))*B38/1000,0,(((SUM(F38:H38))*B38/1000-(M38*VLOOKUP($P$9,inputdata!$A$54:$D$58,2,0)/100+Q38*VLOOKUP($Q$9,inputdata!$A$60:$D$61,2,0)/100))/VLOOKUP($O$9,inputdata!$A$63:$D$66,2,0)*100))))</f>
        <v/>
      </c>
      <c r="J38" t="str">
        <f>IF('water demand calculation'!F33="","",IF(($D38-'water demand calculation'!$F$3*'water demand calculation'!F33/1000-inputdata!$L$58)&lt;=0,0,IF(($D38-'water demand calculation'!$F$3*'water demand calculation'!F33/1000-inputdata!$L$58-'fertiliser demand calculation'!$H$6)&lt;=0,0,$D38-'water demand calculation'!$F$3*'water demand calculation'!F33/1000-inputdata!$L$58-'fertiliser demand calculation'!$H$6)))</f>
        <v/>
      </c>
      <c r="K38" t="str">
        <f>IF('water demand calculation'!G33="","",IF(($D38-'water demand calculation'!$F$3*'water demand calculation'!G33/1000-inputdata!$L$58)&lt;=0,0,IF(($D38-'water demand calculation'!$F$3*'water demand calculation'!G33/1000-inputdata!$L$58-'fertiliser demand calculation'!$H$6)&lt;=0,0,$D38-'water demand calculation'!$F$3*'water demand calculation'!G33/1000-inputdata!$L$58-'fertiliser demand calculation'!$H$6)))</f>
        <v/>
      </c>
      <c r="L38" t="str">
        <f>IF('water demand calculation'!H33="","",IF(($D38-'water demand calculation'!$F$3*'water demand calculation'!H33/1000-inputdata!$L$58)&lt;=0,0,IF(($D38-'water demand calculation'!$F$3*'water demand calculation'!H33/1000-inputdata!$L$58-'fertiliser demand calculation'!$H$6)&lt;=0,0,$D38-'water demand calculation'!$F$3*'water demand calculation'!H33/1000-inputdata!$L$58-'fertiliser demand calculation'!$H$6)))</f>
        <v/>
      </c>
      <c r="M38" t="str">
        <f>IF(AND(J38="",K38="",L38=""),"",IF((SUM(J38:L38)*2.29*100/VLOOKUP('fertiliser demand calculation'!$P$9,inputdata!$A$54:$D$66,3,0))=0,0,((SUM(J38:L38)*2.29*100/VLOOKUP('fertiliser demand calculation'!$P$9,inputdata!$A$54:$D$66,3,0)))*B38/1000))</f>
        <v/>
      </c>
      <c r="N38" t="str">
        <f>IF('water demand calculation'!F33="","",IF(($E38-'water demand calculation'!$G$3*'water demand calculation'!F33/1000-inputdata!$L$59)&lt;=0,0,IF(($E38-'water demand calculation'!$G$3*'water demand calculation'!F33/1000-inputdata!$L$59-'fertiliser demand calculation'!$I$6)&lt;=0,0,$E38-'water demand calculation'!$G$3*'water demand calculation'!F33/1000-inputdata!$L$59-'fertiliser demand calculation'!$I$6)))</f>
        <v/>
      </c>
      <c r="O38" t="str">
        <f>IF('water demand calculation'!G33="","",IF(($E38-'water demand calculation'!$G$3*'water demand calculation'!G33/1000-inputdata!$L$59)&lt;=0,0,IF(($E38-'water demand calculation'!$G$3*'water demand calculation'!G33/1000-inputdata!$L$59-'fertiliser demand calculation'!$I$6)&lt;=0,0,$E38-'water demand calculation'!$G$3*'water demand calculation'!G33/1000-inputdata!$L$59-'fertiliser demand calculation'!$I$6)))</f>
        <v/>
      </c>
      <c r="P38" t="str">
        <f>IF('water demand calculation'!H33="","",IF(($E38-'water demand calculation'!$G$3*'water demand calculation'!H33/1000-inputdata!$L$59)&lt;=0,0,IF(($E38-'water demand calculation'!$G$3*'water demand calculation'!H33/1000-inputdata!$L$59-'fertiliser demand calculation'!$I$6)&lt;=0,0,$E38-'water demand calculation'!$G$3*'water demand calculation'!H33/1000-inputdata!$L$59-'fertiliser demand calculation'!$I$6)))</f>
        <v/>
      </c>
      <c r="Q38" t="str">
        <f>IF(AND(N38="",O38="",P38=""),"",IF((SUM(N38:P38)*1.2*100/VLOOKUP('fertiliser demand calculation'!$Q$9,inputdata!$A$54:$D$66,4,0))=0,0,(SUM(N38:P38)*1.2*100/VLOOKUP('fertiliser demand calculation'!$Q$9,inputdata!$A$54:$D$66,4,0))*B38/1000))</f>
        <v/>
      </c>
    </row>
    <row r="39" spans="1:20" x14ac:dyDescent="0.2">
      <c r="A39" s="65" t="str">
        <f>inputdata!A16</f>
        <v>broad beans*</v>
      </c>
      <c r="B39" s="1" t="str">
        <f>'water demand calculation'!D34</f>
        <v/>
      </c>
      <c r="C39" t="str">
        <f>IF(B39="","",inputdata!J16*inputdata!M16)</f>
        <v/>
      </c>
      <c r="D39" t="str">
        <f>IF(B39="","",inputdata!K16*inputdata!M16*0.44)</f>
        <v/>
      </c>
      <c r="E39" t="str">
        <f>IF(B39="","",inputdata!L16*inputdata!M16*0.83)</f>
        <v/>
      </c>
      <c r="F39" t="str">
        <f>IF('water demand calculation'!F34="","",IF((C39-'water demand calculation'!$E$3*'water demand calculation'!F34*0.75/1000-inputdata!$L$60)&lt;=0,0,IF((C39-'water demand calculation'!$E$3*'water demand calculation'!F34*0.75/1000-inputdata!$L$60-'fertiliser demand calculation'!$G$6)&lt;=0,0,C39-'water demand calculation'!$E$3*'water demand calculation'!F34*0.75/1000-inputdata!$L$60-'fertiliser demand calculation'!$G$6)))</f>
        <v/>
      </c>
      <c r="G39" t="str">
        <f>IF('water demand calculation'!G34="","",IF((C39-'water demand calculation'!$E$3*'water demand calculation'!G34*0.75/1000-inputdata!$L$60)&lt;=0,0,IF((C39-'water demand calculation'!$E$3*'water demand calculation'!G34*0.75/1000-inputdata!$L$60-'fertiliser demand calculation'!$G$6)&lt;=0,0,C39-'water demand calculation'!$E$3*'water demand calculation'!G34*0.75/1000-inputdata!$L$60-'fertiliser demand calculation'!$G$6)))</f>
        <v/>
      </c>
      <c r="H39" t="str">
        <f>IF('water demand calculation'!H34="","",IF((C39-'water demand calculation'!$E$3*'water demand calculation'!H34*0.75/1000-inputdata!$L$60)&lt;=0,0,IF((C39-'water demand calculation'!$E$3*'water demand calculation'!H34*0.75/1000-inputdata!$L$60-'fertiliser demand calculation'!$G$6)&lt;=0,0,C39-'water demand calculation'!$E$3*'water demand calculation'!H34*0.75/1000-inputdata!$L$60-'fertiliser demand calculation'!$G$6)))</f>
        <v/>
      </c>
      <c r="I39" t="str">
        <f>IF(AND(F39="",G39="",H39=""),"",IF((SUM(F39:H39))=0,0,IF((M39*VLOOKUP($P$9,inputdata!$A$54:$D$58,2,0)/100+Q39*VLOOKUP($Q$9,inputdata!$A$60:$D$61,2,0)/100)&gt;=(SUM(F39:H39))*B39/1000,0,(((SUM(F39:H39))*B39/1000-(M39*VLOOKUP($P$9,inputdata!$A$54:$D$58,2,0)/100+Q39*VLOOKUP($Q$9,inputdata!$A$60:$D$61,2,0)/100))/VLOOKUP($O$9,inputdata!$A$63:$D$66,2,0)*100))))</f>
        <v/>
      </c>
      <c r="J39" t="str">
        <f>IF('water demand calculation'!F34="","",IF(($D39-'water demand calculation'!$F$3*'water demand calculation'!F34/1000-inputdata!$L$58)&lt;=0,0,IF(($D39-'water demand calculation'!$F$3*'water demand calculation'!F34/1000-inputdata!$L$58-'fertiliser demand calculation'!$H$6)&lt;=0,0,$D39-'water demand calculation'!$F$3*'water demand calculation'!F34/1000-inputdata!$L$58-'fertiliser demand calculation'!$H$6)))</f>
        <v/>
      </c>
      <c r="K39" t="str">
        <f>IF('water demand calculation'!G34="","",IF(($D39-'water demand calculation'!$F$3*'water demand calculation'!G34/1000-inputdata!$L$58)&lt;=0,0,IF(($D39-'water demand calculation'!$F$3*'water demand calculation'!G34/1000-inputdata!$L$58-'fertiliser demand calculation'!$H$6)&lt;=0,0,$D39-'water demand calculation'!$F$3*'water demand calculation'!G34/1000-inputdata!$L$58-'fertiliser demand calculation'!$H$6)))</f>
        <v/>
      </c>
      <c r="L39" t="str">
        <f>IF('water demand calculation'!H34="","",IF(($D39-'water demand calculation'!$F$3*'water demand calculation'!H34/1000-inputdata!$L$58)&lt;=0,0,IF(($D39-'water demand calculation'!$F$3*'water demand calculation'!H34/1000-inputdata!$L$58-'fertiliser demand calculation'!$H$6)&lt;=0,0,$D39-'water demand calculation'!$F$3*'water demand calculation'!H34/1000-inputdata!$L$58-'fertiliser demand calculation'!$H$6)))</f>
        <v/>
      </c>
      <c r="M39" t="str">
        <f>IF(AND(J39="",K39="",L39=""),"",IF((SUM(J39:L39)*2.29*100/VLOOKUP('fertiliser demand calculation'!$P$9,inputdata!$A$54:$D$66,3,0))=0,0,((SUM(J39:L39)*2.29*100/VLOOKUP('fertiliser demand calculation'!$P$9,inputdata!$A$54:$D$66,3,0)))*B39/1000))</f>
        <v/>
      </c>
      <c r="N39" t="str">
        <f>IF('water demand calculation'!F34="","",IF(($E39-'water demand calculation'!$G$3*'water demand calculation'!F34/1000-inputdata!$L$59)&lt;=0,0,IF(($E39-'water demand calculation'!$G$3*'water demand calculation'!F34/1000-inputdata!$L$59-'fertiliser demand calculation'!$I$6)&lt;=0,0,$E39-'water demand calculation'!$G$3*'water demand calculation'!F34/1000-inputdata!$L$59-'fertiliser demand calculation'!$I$6)))</f>
        <v/>
      </c>
      <c r="O39" t="str">
        <f>IF('water demand calculation'!G34="","",IF(($E39-'water demand calculation'!$G$3*'water demand calculation'!G34/1000-inputdata!$L$59)&lt;=0,0,IF(($E39-'water demand calculation'!$G$3*'water demand calculation'!G34/1000-inputdata!$L$59-'fertiliser demand calculation'!$I$6)&lt;=0,0,$E39-'water demand calculation'!$G$3*'water demand calculation'!G34/1000-inputdata!$L$59-'fertiliser demand calculation'!$I$6)))</f>
        <v/>
      </c>
      <c r="P39" t="str">
        <f>IF('water demand calculation'!H34="","",IF(($E39-'water demand calculation'!$G$3*'water demand calculation'!H34/1000-inputdata!$L$59)&lt;=0,0,IF(($E39-'water demand calculation'!$G$3*'water demand calculation'!H34/1000-inputdata!$L$59-'fertiliser demand calculation'!$I$6)&lt;=0,0,$E39-'water demand calculation'!$G$3*'water demand calculation'!H34/1000-inputdata!$L$59-'fertiliser demand calculation'!$I$6)))</f>
        <v/>
      </c>
      <c r="Q39" t="str">
        <f>IF(AND(N39="",O39="",P39=""),"",IF((SUM(N39:P39)*1.2*100/VLOOKUP('fertiliser demand calculation'!$Q$9,inputdata!$A$54:$D$66,4,0))=0,0,(SUM(N39:P39)*1.2*100/VLOOKUP('fertiliser demand calculation'!$Q$9,inputdata!$A$54:$D$66,4,0))*B39/1000))</f>
        <v/>
      </c>
    </row>
    <row r="40" spans="1:20" x14ac:dyDescent="0.2">
      <c r="A40" s="65" t="str">
        <f>inputdata!A17</f>
        <v>oat</v>
      </c>
      <c r="B40" s="1">
        <f>'water demand calculation'!D35</f>
        <v>1239.4695687613046</v>
      </c>
      <c r="C40">
        <f>IF(B40="","",inputdata!J17*inputdata!M17)</f>
        <v>137.20000000000002</v>
      </c>
      <c r="D40">
        <f>IF(B40="","",inputdata!K17*inputdata!M17*0.44)</f>
        <v>21.991199999999999</v>
      </c>
      <c r="E40">
        <f>IF(B40="","",inputdata!L17*inputdata!M17*0.83)</f>
        <v>195.21600000000001</v>
      </c>
      <c r="F40" t="str">
        <f>IF('water demand calculation'!F35="","",IF((C40-'water demand calculation'!$E$3*'water demand calculation'!F35*0.75/1000-inputdata!$L$60)&lt;=0,0,IF((C40-'water demand calculation'!$E$3*'water demand calculation'!F35*0.75/1000-inputdata!$L$60-'fertiliser demand calculation'!$G$6)&lt;=0,0,C40-'water demand calculation'!$E$3*'water demand calculation'!F35*0.75/1000-inputdata!$L$60-'fertiliser demand calculation'!$G$6)))</f>
        <v/>
      </c>
      <c r="G40">
        <f>IF('water demand calculation'!G35="","",IF((C40-'water demand calculation'!$E$3*'water demand calculation'!G35*0.75/1000-inputdata!$L$60)&lt;=0,0,IF((C40-'water demand calculation'!$E$3*'water demand calculation'!G35*0.75/1000-inputdata!$L$60-'fertiliser demand calculation'!$G$6)&lt;=0,0,C40-'water demand calculation'!$E$3*'water demand calculation'!G35*0.75/1000-inputdata!$L$60-'fertiliser demand calculation'!$G$6)))</f>
        <v>78.217391304347842</v>
      </c>
      <c r="H40" t="str">
        <f>IF('water demand calculation'!H35="","",IF((C40-'water demand calculation'!$E$3*'water demand calculation'!H35*0.75/1000-inputdata!$L$60)&lt;=0,0,IF((C40-'water demand calculation'!$E$3*'water demand calculation'!H35*0.75/1000-inputdata!$L$60-'fertiliser demand calculation'!$G$6)&lt;=0,0,C40-'water demand calculation'!$E$3*'water demand calculation'!H35*0.75/1000-inputdata!$L$60-'fertiliser demand calculation'!$G$6)))</f>
        <v/>
      </c>
      <c r="I40">
        <f>IF(AND(F40="",G40="",H40=""),"",IF((SUM(F40:H40))=0,0,IF((M40*VLOOKUP($P$9,inputdata!$A$54:$D$58,2,0)/100+Q40*VLOOKUP($Q$9,inputdata!$A$60:$D$61,2,0)/100)&gt;=(SUM(F40:H40))*B40/1000,0,(((SUM(F40:H40))*B40/1000-(M40*VLOOKUP($P$9,inputdata!$A$54:$D$58,2,0)/100+Q40*VLOOKUP($Q$9,inputdata!$A$60:$D$61,2,0)/100))/VLOOKUP($O$9,inputdata!$A$63:$D$66,2,0)*100))))</f>
        <v>210.7566875426831</v>
      </c>
      <c r="J40" t="str">
        <f>IF('water demand calculation'!F35="","",IF(($D40-'water demand calculation'!$F$3*'water demand calculation'!F35/1000-inputdata!$L$58)&lt;=0,0,IF(($D40-'water demand calculation'!$F$3*'water demand calculation'!F35/1000-inputdata!$L$58-'fertiliser demand calculation'!$H$6)&lt;=0,0,$D40-'water demand calculation'!$F$3*'water demand calculation'!F35/1000-inputdata!$L$58-'fertiliser demand calculation'!$H$6)))</f>
        <v/>
      </c>
      <c r="K40">
        <f>IF('water demand calculation'!G35="","",IF(($D40-'water demand calculation'!$F$3*'water demand calculation'!G35/1000-inputdata!$L$58)&lt;=0,0,IF(($D40-'water demand calculation'!$F$3*'water demand calculation'!G35/1000-inputdata!$L$58-'fertiliser demand calculation'!$H$6)&lt;=0,0,$D40-'water demand calculation'!$F$3*'water demand calculation'!G35/1000-inputdata!$L$58-'fertiliser demand calculation'!$H$6)))</f>
        <v>0</v>
      </c>
      <c r="L40" t="str">
        <f>IF('water demand calculation'!H35="","",IF(($D40-'water demand calculation'!$F$3*'water demand calculation'!H35/1000-inputdata!$L$58)&lt;=0,0,IF(($D40-'water demand calculation'!$F$3*'water demand calculation'!H35/1000-inputdata!$L$58-'fertiliser demand calculation'!$H$6)&lt;=0,0,$D40-'water demand calculation'!$F$3*'water demand calculation'!H35/1000-inputdata!$L$58-'fertiliser demand calculation'!$H$6)))</f>
        <v/>
      </c>
      <c r="M40">
        <f>IF(AND(J40="",K40="",L40=""),"",IF((SUM(J40:L40)*2.29*100/VLOOKUP('fertiliser demand calculation'!$P$9,inputdata!$A$54:$D$66,3,0))=0,0,((SUM(J40:L40)*2.29*100/VLOOKUP('fertiliser demand calculation'!$P$9,inputdata!$A$54:$D$66,3,0)))*B40/1000))</f>
        <v>0</v>
      </c>
      <c r="N40" t="str">
        <f>IF('water demand calculation'!F35="","",IF(($E40-'water demand calculation'!$G$3*'water demand calculation'!F35/1000-inputdata!$L$59)&lt;=0,0,IF(($E40-'water demand calculation'!$G$3*'water demand calculation'!F35/1000-inputdata!$L$59-'fertiliser demand calculation'!$I$6)&lt;=0,0,$E40-'water demand calculation'!$G$3*'water demand calculation'!F35/1000-inputdata!$L$59-'fertiliser demand calculation'!$I$6)))</f>
        <v/>
      </c>
      <c r="O40">
        <f>IF('water demand calculation'!G35="","",IF(($E40-'water demand calculation'!$G$3*'water demand calculation'!G35/1000-inputdata!$L$59)&lt;=0,0,IF(($E40-'water demand calculation'!$G$3*'water demand calculation'!G35/1000-inputdata!$L$59-'fertiliser demand calculation'!$I$6)&lt;=0,0,$E40-'water demand calculation'!$G$3*'water demand calculation'!G35/1000-inputdata!$L$59-'fertiliser demand calculation'!$I$6)))</f>
        <v>7.9696231884057909</v>
      </c>
      <c r="P40" t="str">
        <f>IF('water demand calculation'!H35="","",IF(($E40-'water demand calculation'!$G$3*'water demand calculation'!H35/1000-inputdata!$L$59)&lt;=0,0,IF(($E40-'water demand calculation'!$G$3*'water demand calculation'!H35/1000-inputdata!$L$59-'fertiliser demand calculation'!$I$6)&lt;=0,0,$E40-'water demand calculation'!$G$3*'water demand calculation'!H35/1000-inputdata!$L$59-'fertiliser demand calculation'!$I$6)))</f>
        <v/>
      </c>
      <c r="Q40">
        <f>IF(AND(N40="",O40="",P40=""),"",IF((SUM(N40:P40)*1.2*100/VLOOKUP('fertiliser demand calculation'!$Q$9,inputdata!$A$54:$D$66,4,0))=0,0,(SUM(N40:P40)*1.2*100/VLOOKUP('fertiliser demand calculation'!$Q$9,inputdata!$A$54:$D$66,4,0))*B40/1000))</f>
        <v>23.707452999656201</v>
      </c>
    </row>
    <row r="41" spans="1:20" x14ac:dyDescent="0.2">
      <c r="A41" s="65" t="str">
        <f>inputdata!A18</f>
        <v>potato</v>
      </c>
      <c r="B41" s="1">
        <f>'water demand calculation'!D36</f>
        <v>413.1565229204349</v>
      </c>
      <c r="C41">
        <f>IF(B41="","",inputdata!J18*inputdata!M18)</f>
        <v>150</v>
      </c>
      <c r="D41">
        <f>IF(B41="","",inputdata!K18*inputdata!M18*0.44)</f>
        <v>10.56</v>
      </c>
      <c r="E41">
        <f>IF(B41="","",inputdata!L18*inputdata!M18*0.83)</f>
        <v>166.82999999999998</v>
      </c>
      <c r="F41" t="str">
        <f>IF('water demand calculation'!F36="","",IF((C41-'water demand calculation'!$E$3*'water demand calculation'!F36*0.75/1000-inputdata!$L$60)&lt;=0,0,IF((C41-'water demand calculation'!$E$3*'water demand calculation'!F36*0.75/1000-inputdata!$L$60-'fertiliser demand calculation'!$G$6)&lt;=0,0,C41-'water demand calculation'!$E$3*'water demand calculation'!F36*0.75/1000-inputdata!$L$60-'fertiliser demand calculation'!$G$6)))</f>
        <v/>
      </c>
      <c r="G41">
        <f>IF('water demand calculation'!G36="","",IF((C41-'water demand calculation'!$E$3*'water demand calculation'!G36*0.75/1000-inputdata!$L$60)&lt;=0,0,IF((C41-'water demand calculation'!$E$3*'water demand calculation'!G36*0.75/1000-inputdata!$L$60-'fertiliser demand calculation'!$G$6)&lt;=0,0,C41-'water demand calculation'!$E$3*'water demand calculation'!G36*0.75/1000-inputdata!$L$60-'fertiliser demand calculation'!$G$6)))</f>
        <v>64.25</v>
      </c>
      <c r="H41" t="str">
        <f>IF('water demand calculation'!H36="","",IF((C41-'water demand calculation'!$E$3*'water demand calculation'!H36*0.75/1000-inputdata!$L$60)&lt;=0,0,IF((C41-'water demand calculation'!$E$3*'water demand calculation'!H36*0.75/1000-inputdata!$L$60-'fertiliser demand calculation'!$G$6)&lt;=0,0,C41-'water demand calculation'!$E$3*'water demand calculation'!H36*0.75/1000-inputdata!$L$60-'fertiliser demand calculation'!$G$6)))</f>
        <v/>
      </c>
      <c r="I41">
        <f>IF(AND(F41="",G41="",H41=""),"",IF((SUM(F41:H41))=0,0,IF((M41*VLOOKUP($P$9,inputdata!$A$54:$D$58,2,0)/100+Q41*VLOOKUP($Q$9,inputdata!$A$60:$D$61,2,0)/100)&gt;=(SUM(F41:H41))*B41/1000,0,(((SUM(F41:H41))*B41/1000-(M41*VLOOKUP($P$9,inputdata!$A$54:$D$58,2,0)/100+Q41*VLOOKUP($Q$9,inputdata!$A$60:$D$61,2,0)/100))/VLOOKUP($O$9,inputdata!$A$63:$D$66,2,0)*100))))</f>
        <v>57.707188255734657</v>
      </c>
      <c r="J41" t="str">
        <f>IF('water demand calculation'!F36="","",IF(($D41-'water demand calculation'!$F$3*'water demand calculation'!F36/1000-inputdata!$L$58)&lt;=0,0,IF(($D41-'water demand calculation'!$F$3*'water demand calculation'!F36/1000-inputdata!$L$58-'fertiliser demand calculation'!$H$6)&lt;=0,0,$D41-'water demand calculation'!$F$3*'water demand calculation'!F36/1000-inputdata!$L$58-'fertiliser demand calculation'!$H$6)))</f>
        <v/>
      </c>
      <c r="K41">
        <f>IF('water demand calculation'!G36="","",IF(($D41-'water demand calculation'!$F$3*'water demand calculation'!G36/1000-inputdata!$L$58)&lt;=0,0,IF(($D41-'water demand calculation'!$F$3*'water demand calculation'!G36/1000-inputdata!$L$58-'fertiliser demand calculation'!$H$6)&lt;=0,0,$D41-'water demand calculation'!$F$3*'water demand calculation'!G36/1000-inputdata!$L$58-'fertiliser demand calculation'!$H$6)))</f>
        <v>0</v>
      </c>
      <c r="L41" t="str">
        <f>IF('water demand calculation'!H36="","",IF(($D41-'water demand calculation'!$F$3*'water demand calculation'!H36/1000-inputdata!$L$58)&lt;=0,0,IF(($D41-'water demand calculation'!$F$3*'water demand calculation'!H36/1000-inputdata!$L$58-'fertiliser demand calculation'!$H$6)&lt;=0,0,$D41-'water demand calculation'!$F$3*'water demand calculation'!H36/1000-inputdata!$L$58-'fertiliser demand calculation'!$H$6)))</f>
        <v/>
      </c>
      <c r="M41">
        <f>IF(AND(J41="",K41="",L41=""),"",IF((SUM(J41:L41)*2.29*100/VLOOKUP('fertiliser demand calculation'!$P$9,inputdata!$A$54:$D$66,3,0))=0,0,((SUM(J41:L41)*2.29*100/VLOOKUP('fertiliser demand calculation'!$P$9,inputdata!$A$54:$D$66,3,0)))*B41/1000))</f>
        <v>0</v>
      </c>
      <c r="N41" t="str">
        <f>IF('water demand calculation'!F36="","",IF(($E41-'water demand calculation'!$G$3*'water demand calculation'!F36/1000-inputdata!$L$59)&lt;=0,0,IF(($E41-'water demand calculation'!$G$3*'water demand calculation'!F36/1000-inputdata!$L$59-'fertiliser demand calculation'!$I$6)&lt;=0,0,$E41-'water demand calculation'!$G$3*'water demand calculation'!F36/1000-inputdata!$L$59-'fertiliser demand calculation'!$I$6)))</f>
        <v/>
      </c>
      <c r="O41">
        <f>IF('water demand calculation'!G36="","",IF(($E41-'water demand calculation'!$G$3*'water demand calculation'!G36/1000-inputdata!$L$59)&lt;=0,0,IF(($E41-'water demand calculation'!$G$3*'water demand calculation'!G36/1000-inputdata!$L$59-'fertiliser demand calculation'!$I$6)&lt;=0,0,$E41-'water demand calculation'!$G$3*'water demand calculation'!G36/1000-inputdata!$L$59-'fertiliser demand calculation'!$I$6)))</f>
        <v>0</v>
      </c>
      <c r="P41" t="str">
        <f>IF('water demand calculation'!H36="","",IF(($E41-'water demand calculation'!$G$3*'water demand calculation'!H36/1000-inputdata!$L$59)&lt;=0,0,IF(($E41-'water demand calculation'!$G$3*'water demand calculation'!H36/1000-inputdata!$L$59-'fertiliser demand calculation'!$I$6)&lt;=0,0,$E41-'water demand calculation'!$G$3*'water demand calculation'!H36/1000-inputdata!$L$59-'fertiliser demand calculation'!$I$6)))</f>
        <v/>
      </c>
      <c r="Q41">
        <f>IF(AND(N41="",O41="",P41=""),"",IF((SUM(N41:P41)*1.2*100/VLOOKUP('fertiliser demand calculation'!$Q$9,inputdata!$A$54:$D$66,4,0))=0,0,(SUM(N41:P41)*1.2*100/VLOOKUP('fertiliser demand calculation'!$Q$9,inputdata!$A$54:$D$66,4,0))*B41/1000))</f>
        <v>0</v>
      </c>
    </row>
    <row r="42" spans="1:20" x14ac:dyDescent="0.2">
      <c r="A42" s="65" t="str">
        <f>inputdata!A19</f>
        <v>onion</v>
      </c>
      <c r="B42" s="1" t="str">
        <f>'water demand calculation'!D37</f>
        <v/>
      </c>
      <c r="C42" t="str">
        <f>IF(B42="","",inputdata!J19*inputdata!M19)</f>
        <v/>
      </c>
      <c r="D42" t="str">
        <f>IF(B42="","",inputdata!K19*inputdata!M19*0.44)</f>
        <v/>
      </c>
      <c r="E42" t="str">
        <f>IF(B42="","",inputdata!L19*inputdata!M19*0.83)</f>
        <v/>
      </c>
      <c r="F42" t="str">
        <f>IF('water demand calculation'!F37="","",IF((C42-'water demand calculation'!$E$3*'water demand calculation'!F37*0.75/1000-inputdata!$L$60)&lt;=0,0,IF((C42-'water demand calculation'!$E$3*'water demand calculation'!F37*0.75/1000-inputdata!$L$60-'fertiliser demand calculation'!$G$6)&lt;=0,0,C42-'water demand calculation'!$E$3*'water demand calculation'!F37*0.75/1000-inputdata!$L$60-'fertiliser demand calculation'!$G$6)))</f>
        <v/>
      </c>
      <c r="G42" t="str">
        <f>IF('water demand calculation'!G37="","",IF((C42-'water demand calculation'!$E$3*'water demand calculation'!G37*0.75/1000-inputdata!$L$60)&lt;=0,0,IF((C42-'water demand calculation'!$E$3*'water demand calculation'!G37*0.75/1000-inputdata!$L$60-'fertiliser demand calculation'!$G$6)&lt;=0,0,C42-'water demand calculation'!$E$3*'water demand calculation'!G37*0.75/1000-inputdata!$L$60-'fertiliser demand calculation'!$G$6)))</f>
        <v/>
      </c>
      <c r="H42" t="str">
        <f>IF('water demand calculation'!H37="","",IF((C42-'water demand calculation'!$E$3*'water demand calculation'!H37*0.75/1000-inputdata!$L$60)&lt;=0,0,IF((C42-'water demand calculation'!$E$3*'water demand calculation'!H37*0.75/1000-inputdata!$L$60-'fertiliser demand calculation'!$G$6)&lt;=0,0,C42-'water demand calculation'!$E$3*'water demand calculation'!H37*0.75/1000-inputdata!$L$60-'fertiliser demand calculation'!$G$6)))</f>
        <v/>
      </c>
      <c r="I42" t="str">
        <f>IF(AND(F42="",G42="",H42=""),"",IF((SUM(F42:H42))=0,0,IF((M42*VLOOKUP($P$9,inputdata!$A$54:$D$58,2,0)/100+Q42*VLOOKUP($Q$9,inputdata!$A$60:$D$61,2,0)/100)&gt;=(SUM(F42:H42))*B42/1000,0,(((SUM(F42:H42))*B42/1000-(M42*VLOOKUP($P$9,inputdata!$A$54:$D$58,2,0)/100+Q42*VLOOKUP($Q$9,inputdata!$A$60:$D$61,2,0)/100))/VLOOKUP($O$9,inputdata!$A$63:$D$66,2,0)*100))))</f>
        <v/>
      </c>
      <c r="J42" t="str">
        <f>IF('water demand calculation'!F37="","",IF(($D42-'water demand calculation'!$F$3*'water demand calculation'!F37/1000-inputdata!$L$58)&lt;=0,0,IF(($D42-'water demand calculation'!$F$3*'water demand calculation'!F37/1000-inputdata!$L$58-'fertiliser demand calculation'!$H$6)&lt;=0,0,$D42-'water demand calculation'!$F$3*'water demand calculation'!F37/1000-inputdata!$L$58-'fertiliser demand calculation'!$H$6)))</f>
        <v/>
      </c>
      <c r="K42" t="str">
        <f>IF('water demand calculation'!G37="","",IF(($D42-'water demand calculation'!$F$3*'water demand calculation'!G37/1000-inputdata!$L$58)&lt;=0,0,IF(($D42-'water demand calculation'!$F$3*'water demand calculation'!G37/1000-inputdata!$L$58-'fertiliser demand calculation'!$H$6)&lt;=0,0,$D42-'water demand calculation'!$F$3*'water demand calculation'!G37/1000-inputdata!$L$58-'fertiliser demand calculation'!$H$6)))</f>
        <v/>
      </c>
      <c r="L42" t="str">
        <f>IF('water demand calculation'!H37="","",IF(($D42-'water demand calculation'!$F$3*'water demand calculation'!H37/1000-inputdata!$L$58)&lt;=0,0,IF(($D42-'water demand calculation'!$F$3*'water demand calculation'!H37/1000-inputdata!$L$58-'fertiliser demand calculation'!$H$6)&lt;=0,0,$D42-'water demand calculation'!$F$3*'water demand calculation'!H37/1000-inputdata!$L$58-'fertiliser demand calculation'!$H$6)))</f>
        <v/>
      </c>
      <c r="M42" t="str">
        <f>IF(AND(J42="",K42="",L42=""),"",IF((SUM(J42:L42)*2.29*100/VLOOKUP('fertiliser demand calculation'!$P$9,inputdata!$A$54:$D$66,3,0))=0,0,((SUM(J42:L42)*2.29*100/VLOOKUP('fertiliser demand calculation'!$P$9,inputdata!$A$54:$D$66,3,0)))*B42/1000))</f>
        <v/>
      </c>
      <c r="N42" t="str">
        <f>IF('water demand calculation'!F37="","",IF(($E42-'water demand calculation'!$G$3*'water demand calculation'!F37/1000-inputdata!$L$59)&lt;=0,0,IF(($E42-'water demand calculation'!$G$3*'water demand calculation'!F37/1000-inputdata!$L$59-'fertiliser demand calculation'!$I$6)&lt;=0,0,$E42-'water demand calculation'!$G$3*'water demand calculation'!F37/1000-inputdata!$L$59-'fertiliser demand calculation'!$I$6)))</f>
        <v/>
      </c>
      <c r="O42" t="str">
        <f>IF('water demand calculation'!G37="","",IF(($E42-'water demand calculation'!$G$3*'water demand calculation'!G37/1000-inputdata!$L$59)&lt;=0,0,IF(($E42-'water demand calculation'!$G$3*'water demand calculation'!G37/1000-inputdata!$L$59-'fertiliser demand calculation'!$I$6)&lt;=0,0,$E42-'water demand calculation'!$G$3*'water demand calculation'!G37/1000-inputdata!$L$59-'fertiliser demand calculation'!$I$6)))</f>
        <v/>
      </c>
      <c r="P42" t="str">
        <f>IF('water demand calculation'!H37="","",IF(($E42-'water demand calculation'!$G$3*'water demand calculation'!H37/1000-inputdata!$L$59)&lt;=0,0,IF(($E42-'water demand calculation'!$G$3*'water demand calculation'!H37/1000-inputdata!$L$59-'fertiliser demand calculation'!$I$6)&lt;=0,0,$E42-'water demand calculation'!$G$3*'water demand calculation'!H37/1000-inputdata!$L$59-'fertiliser demand calculation'!$I$6)))</f>
        <v/>
      </c>
      <c r="Q42" t="str">
        <f>IF(AND(N42="",O42="",P42=""),"",IF((SUM(N42:P42)*1.2*100/VLOOKUP('fertiliser demand calculation'!$Q$9,inputdata!$A$54:$D$66,4,0))=0,0,(SUM(N42:P42)*1.2*100/VLOOKUP('fertiliser demand calculation'!$Q$9,inputdata!$A$54:$D$66,4,0))*B42/1000))</f>
        <v/>
      </c>
    </row>
    <row r="43" spans="1:20" x14ac:dyDescent="0.2">
      <c r="A43" s="65" t="str">
        <f>inputdata!A20</f>
        <v>lettuce and Green-Leaf Crops</v>
      </c>
      <c r="B43" s="1">
        <f>'water demand calculation'!D38</f>
        <v>206.57826146021745</v>
      </c>
      <c r="C43">
        <f>IF(B43="","",inputdata!J20*inputdata!M20)</f>
        <v>114</v>
      </c>
      <c r="D43">
        <f>IF(B43="","",inputdata!K20*inputdata!M20*0.44)</f>
        <v>15.84</v>
      </c>
      <c r="E43">
        <f>IF(B43="","",inputdata!L20*inputdata!M20*0.83)</f>
        <v>179.28</v>
      </c>
      <c r="F43" t="str">
        <f>IF('water demand calculation'!F38="","",IF((C43-'water demand calculation'!$E$3*'water demand calculation'!F38*0.75/1000-inputdata!$L$60)&lt;=0,0,IF((C43-'water demand calculation'!$E$3*'water demand calculation'!F38*0.75/1000-inputdata!$L$60-'fertiliser demand calculation'!$G$6)&lt;=0,0,C43-'water demand calculation'!$E$3*'water demand calculation'!F38*0.75/1000-inputdata!$L$60-'fertiliser demand calculation'!$G$6)))</f>
        <v/>
      </c>
      <c r="G43">
        <f>IF('water demand calculation'!G38="","",IF((C43-'water demand calculation'!$E$3*'water demand calculation'!G38*0.75/1000-inputdata!$L$60)&lt;=0,0,IF((C43-'water demand calculation'!$E$3*'water demand calculation'!G38*0.75/1000-inputdata!$L$60-'fertiliser demand calculation'!$G$6)&lt;=0,0,C43-'water demand calculation'!$E$3*'water demand calculation'!G38*0.75/1000-inputdata!$L$60-'fertiliser demand calculation'!$G$6)))</f>
        <v>12.300000000000026</v>
      </c>
      <c r="H43">
        <f>IF('water demand calculation'!H38="","",IF((C43-'water demand calculation'!$E$3*'water demand calculation'!H38*0.75/1000-inputdata!$L$60)&lt;=0,0,IF((C43-'water demand calculation'!$E$3*'water demand calculation'!H38*0.75/1000-inputdata!$L$60-'fertiliser demand calculation'!$G$6)&lt;=0,0,C43-'water demand calculation'!$E$3*'water demand calculation'!H38*0.75/1000-inputdata!$L$60-'fertiliser demand calculation'!$G$6)))</f>
        <v>45.150000000000006</v>
      </c>
      <c r="I43">
        <f>IF(AND(F43="",G43="",H43=""),"",IF((SUM(F43:H43))=0,0,IF((M43*VLOOKUP($P$9,inputdata!$A$54:$D$58,2,0)/100+Q43*VLOOKUP($Q$9,inputdata!$A$60:$D$61,2,0)/100)&gt;=(SUM(F43:H43))*B43/1000,0,(((SUM(F43:H43))*B43/1000-(M43*VLOOKUP($P$9,inputdata!$A$54:$D$58,2,0)/100+Q43*VLOOKUP($Q$9,inputdata!$A$60:$D$61,2,0)/100))/VLOOKUP($O$9,inputdata!$A$63:$D$66,2,0)*100))))</f>
        <v>25.799828523672826</v>
      </c>
      <c r="J43" t="str">
        <f>IF('water demand calculation'!F38="","",IF(($D43-'water demand calculation'!$F$3*'water demand calculation'!F38/1000-inputdata!$L$58)&lt;=0,0,IF(($D43-'water demand calculation'!$F$3*'water demand calculation'!F38/1000-inputdata!$L$58-'fertiliser demand calculation'!$H$6)&lt;=0,0,$D43-'water demand calculation'!$F$3*'water demand calculation'!F38/1000-inputdata!$L$58-'fertiliser demand calculation'!$H$6)))</f>
        <v/>
      </c>
      <c r="K43">
        <f>IF('water demand calculation'!G38="","",IF(($D43-'water demand calculation'!$F$3*'water demand calculation'!G38/1000-inputdata!$L$58)&lt;=0,0,IF(($D43-'water demand calculation'!$F$3*'water demand calculation'!G38/1000-inputdata!$L$58-'fertiliser demand calculation'!$H$6)&lt;=0,0,$D43-'water demand calculation'!$F$3*'water demand calculation'!G38/1000-inputdata!$L$58-'fertiliser demand calculation'!$H$6)))</f>
        <v>0</v>
      </c>
      <c r="L43">
        <f>IF('water demand calculation'!H38="","",IF(($D43-'water demand calculation'!$F$3*'water demand calculation'!H38/1000-inputdata!$L$58)&lt;=0,0,IF(($D43-'water demand calculation'!$F$3*'water demand calculation'!H38/1000-inputdata!$L$58-'fertiliser demand calculation'!$H$6)&lt;=0,0,$D43-'water demand calculation'!$F$3*'water demand calculation'!H38/1000-inputdata!$L$58-'fertiliser demand calculation'!$H$6)))</f>
        <v>0</v>
      </c>
      <c r="M43">
        <f>IF(AND(J43="",K43="",L43=""),"",IF((SUM(J43:L43)*2.29*100/VLOOKUP('fertiliser demand calculation'!$P$9,inputdata!$A$54:$D$66,3,0))=0,0,((SUM(J43:L43)*2.29*100/VLOOKUP('fertiliser demand calculation'!$P$9,inputdata!$A$54:$D$66,3,0)))*B43/1000))</f>
        <v>0</v>
      </c>
      <c r="N43" t="str">
        <f>IF('water demand calculation'!F38="","",IF(($E43-'water demand calculation'!$G$3*'water demand calculation'!F38/1000-inputdata!$L$59)&lt;=0,0,IF(($E43-'water demand calculation'!$G$3*'water demand calculation'!F38/1000-inputdata!$L$59-'fertiliser demand calculation'!$I$6)&lt;=0,0,$E43-'water demand calculation'!$G$3*'water demand calculation'!F38/1000-inputdata!$L$59-'fertiliser demand calculation'!$I$6)))</f>
        <v/>
      </c>
      <c r="O43">
        <f>IF('water demand calculation'!G38="","",IF(($E43-'water demand calculation'!$G$3*'water demand calculation'!G38/1000-inputdata!$L$59)&lt;=0,0,IF(($E43-'water demand calculation'!$G$3*'water demand calculation'!G38/1000-inputdata!$L$59-'fertiliser demand calculation'!$I$6)&lt;=0,0,$E43-'water demand calculation'!$G$3*'water demand calculation'!G38/1000-inputdata!$L$59-'fertiliser demand calculation'!$I$6)))</f>
        <v>0</v>
      </c>
      <c r="P43">
        <f>IF('water demand calculation'!H38="","",IF(($E43-'water demand calculation'!$G$3*'water demand calculation'!H38/1000-inputdata!$L$59)&lt;=0,0,IF(($E43-'water demand calculation'!$G$3*'water demand calculation'!H38/1000-inputdata!$L$59-'fertiliser demand calculation'!$I$6)&lt;=0,0,$E43-'water demand calculation'!$G$3*'water demand calculation'!H38/1000-inputdata!$L$59-'fertiliser demand calculation'!$I$6)))</f>
        <v>0</v>
      </c>
      <c r="Q43">
        <f>IF(AND(N43="",O43="",P43=""),"",IF((SUM(N43:P43)*1.2*100/VLOOKUP('fertiliser demand calculation'!$Q$9,inputdata!$A$54:$D$66,4,0))=0,0,(SUM(N43:P43)*1.2*100/VLOOKUP('fertiliser demand calculation'!$Q$9,inputdata!$A$54:$D$66,4,0))*B43/1000))</f>
        <v>0</v>
      </c>
    </row>
    <row r="44" spans="1:20" x14ac:dyDescent="0.2">
      <c r="A44" s="65" t="str">
        <f>inputdata!A21</f>
        <v xml:space="preserve">carrot </v>
      </c>
      <c r="B44" s="1">
        <f>'water demand calculation'!D39</f>
        <v>103.28913073010872</v>
      </c>
      <c r="C44">
        <f>IF(B44="","",inputdata!J21*inputdata!M21)</f>
        <v>72.5</v>
      </c>
      <c r="D44">
        <f>IF(B44="","",inputdata!K21*inputdata!M21*0.44)</f>
        <v>18.7</v>
      </c>
      <c r="E44">
        <f>IF(B44="","",inputdata!L21*inputdata!M21*0.83)</f>
        <v>85.074999999999989</v>
      </c>
      <c r="F44" t="str">
        <f>IF('water demand calculation'!F39="","",IF((C44-'water demand calculation'!$E$3*'water demand calculation'!F39*0.75/1000-inputdata!$L$60)&lt;=0,0,IF((C44-'water demand calculation'!$E$3*'water demand calculation'!F39*0.75/1000-inputdata!$L$60-'fertiliser demand calculation'!$G$6)&lt;=0,0,C44-'water demand calculation'!$E$3*'water demand calculation'!F39*0.75/1000-inputdata!$L$60-'fertiliser demand calculation'!$G$6)))</f>
        <v/>
      </c>
      <c r="G44">
        <f>IF('water demand calculation'!G39="","",IF((C44-'water demand calculation'!$E$3*'water demand calculation'!G39*0.75/1000-inputdata!$L$60)&lt;=0,0,IF((C44-'water demand calculation'!$E$3*'water demand calculation'!G39*0.75/1000-inputdata!$L$60-'fertiliser demand calculation'!$G$6)&lt;=0,0,C44-'water demand calculation'!$E$3*'water demand calculation'!G39*0.75/1000-inputdata!$L$60-'fertiliser demand calculation'!$G$6)))</f>
        <v>28.348360655737714</v>
      </c>
      <c r="H44">
        <f>IF('water demand calculation'!H39="","",IF((C44-'water demand calculation'!$E$3*'water demand calculation'!H39*0.75/1000-inputdata!$L$60)&lt;=0,0,IF((C44-'water demand calculation'!$E$3*'water demand calculation'!H39*0.75/1000-inputdata!$L$60-'fertiliser demand calculation'!$G$6)&lt;=0,0,C44-'water demand calculation'!$E$3*'water demand calculation'!H39*0.75/1000-inputdata!$L$60-'fertiliser demand calculation'!$G$6)))</f>
        <v>0</v>
      </c>
      <c r="I44">
        <f>IF(AND(F44="",G44="",H44=""),"",IF((SUM(F44:H44))=0,0,IF((M44*VLOOKUP($P$9,inputdata!$A$54:$D$58,2,0)/100+Q44*VLOOKUP($Q$9,inputdata!$A$60:$D$61,2,0)/100)&gt;=(SUM(F44:H44))*B44/1000,0,(((SUM(F44:H44))*B44/1000-(M44*VLOOKUP($P$9,inputdata!$A$54:$D$58,2,0)/100+Q44*VLOOKUP($Q$9,inputdata!$A$60:$D$61,2,0)/100))/VLOOKUP($O$9,inputdata!$A$63:$D$66,2,0)*100))))</f>
        <v>6.2690695960565614</v>
      </c>
      <c r="J44" t="str">
        <f>IF('water demand calculation'!F39="","",IF(($D44-'water demand calculation'!$F$3*'water demand calculation'!F39/1000-inputdata!$L$58)&lt;=0,0,IF(($D44-'water demand calculation'!$F$3*'water demand calculation'!F39/1000-inputdata!$L$58-'fertiliser demand calculation'!$H$6)&lt;=0,0,$D44-'water demand calculation'!$F$3*'water demand calculation'!F39/1000-inputdata!$L$58-'fertiliser demand calculation'!$H$6)))</f>
        <v/>
      </c>
      <c r="K44">
        <f>IF('water demand calculation'!G39="","",IF(($D44-'water demand calculation'!$F$3*'water demand calculation'!G39/1000-inputdata!$L$58)&lt;=0,0,IF(($D44-'water demand calculation'!$F$3*'water demand calculation'!G39/1000-inputdata!$L$58-'fertiliser demand calculation'!$H$6)&lt;=0,0,$D44-'water demand calculation'!$F$3*'water demand calculation'!G39/1000-inputdata!$L$58-'fertiliser demand calculation'!$H$6)))</f>
        <v>0.47868852459016864</v>
      </c>
      <c r="L44">
        <f>IF('water demand calculation'!H39="","",IF(($D44-'water demand calculation'!$F$3*'water demand calculation'!H39/1000-inputdata!$L$58)&lt;=0,0,IF(($D44-'water demand calculation'!$F$3*'water demand calculation'!H39/1000-inputdata!$L$58-'fertiliser demand calculation'!$H$6)&lt;=0,0,$D44-'water demand calculation'!$F$3*'water demand calculation'!H39/1000-inputdata!$L$58-'fertiliser demand calculation'!$H$6)))</f>
        <v>0</v>
      </c>
      <c r="M44">
        <f>IF(AND(J44="",K44="",L44=""),"",IF((SUM(J44:L44)*2.29*100/VLOOKUP('fertiliser demand calculation'!$P$9,inputdata!$A$54:$D$66,3,0))=0,0,((SUM(J44:L44)*2.29*100/VLOOKUP('fertiliser demand calculation'!$P$9,inputdata!$A$54:$D$66,3,0)))*B44/1000))</f>
        <v>0.24614175315969278</v>
      </c>
      <c r="N44" t="str">
        <f>IF('water demand calculation'!F39="","",IF(($E44-'water demand calculation'!$G$3*'water demand calculation'!F39/1000-inputdata!$L$59)&lt;=0,0,IF(($E44-'water demand calculation'!$G$3*'water demand calculation'!F39/1000-inputdata!$L$59-'fertiliser demand calculation'!$I$6)&lt;=0,0,$E44-'water demand calculation'!$G$3*'water demand calculation'!F39/1000-inputdata!$L$59-'fertiliser demand calculation'!$I$6)))</f>
        <v/>
      </c>
      <c r="O44">
        <f>IF('water demand calculation'!G39="","",IF(($E44-'water demand calculation'!$G$3*'water demand calculation'!G39/1000-inputdata!$L$59)&lt;=0,0,IF(($E44-'water demand calculation'!$G$3*'water demand calculation'!G39/1000-inputdata!$L$59-'fertiliser demand calculation'!$I$6)&lt;=0,0,$E44-'water demand calculation'!$G$3*'water demand calculation'!G39/1000-inputdata!$L$59-'fertiliser demand calculation'!$I$6)))</f>
        <v>0</v>
      </c>
      <c r="P44">
        <f>IF('water demand calculation'!H39="","",IF(($E44-'water demand calculation'!$G$3*'water demand calculation'!H39/1000-inputdata!$L$59)&lt;=0,0,IF(($E44-'water demand calculation'!$G$3*'water demand calculation'!H39/1000-inputdata!$L$59-'fertiliser demand calculation'!$I$6)&lt;=0,0,$E44-'water demand calculation'!$G$3*'water demand calculation'!H39/1000-inputdata!$L$59-'fertiliser demand calculation'!$I$6)))</f>
        <v>0</v>
      </c>
      <c r="Q44">
        <f>IF(AND(N44="",O44="",P44=""),"",IF((SUM(N44:P44)*1.2*100/VLOOKUP('fertiliser demand calculation'!$Q$9,inputdata!$A$54:$D$66,4,0))=0,0,(SUM(N44:P44)*1.2*100/VLOOKUP('fertiliser demand calculation'!$Q$9,inputdata!$A$54:$D$66,4,0))*B44/1000))</f>
        <v>0</v>
      </c>
    </row>
    <row r="45" spans="1:20" x14ac:dyDescent="0.2">
      <c r="A45" s="65" t="str">
        <f>inputdata!A22</f>
        <v xml:space="preserve">Radish </v>
      </c>
      <c r="B45" s="1">
        <f>'water demand calculation'!D40</f>
        <v>103.28913073010872</v>
      </c>
      <c r="C45">
        <f>IF(B45="","",inputdata!J22*inputdata!M22)</f>
        <v>290</v>
      </c>
      <c r="D45">
        <f>IF(B45="","",inputdata!K22*inputdata!M22*0.44)</f>
        <v>41.36</v>
      </c>
      <c r="E45">
        <f>IF(B45="","",inputdata!L22*inputdata!M22*0.83)</f>
        <v>340.3</v>
      </c>
      <c r="F45" t="str">
        <f>IF('water demand calculation'!F40="","",IF((C45-'water demand calculation'!$E$3*'water demand calculation'!F40*0.75/1000-inputdata!$L$60)&lt;=0,0,IF((C45-'water demand calculation'!$E$3*'water demand calculation'!F40*0.75/1000-inputdata!$L$60-'fertiliser demand calculation'!$G$6)&lt;=0,0,C45-'water demand calculation'!$E$3*'water demand calculation'!F40*0.75/1000-inputdata!$L$60-'fertiliser demand calculation'!$G$6)))</f>
        <v/>
      </c>
      <c r="G45">
        <f>IF('water demand calculation'!G40="","",IF((C45-'water demand calculation'!$E$3*'water demand calculation'!G40*0.75/1000-inputdata!$L$60)&lt;=0,0,IF((C45-'water demand calculation'!$E$3*'water demand calculation'!G40*0.75/1000-inputdata!$L$60-'fertiliser demand calculation'!$G$6)&lt;=0,0,C45-'water demand calculation'!$E$3*'water demand calculation'!G40*0.75/1000-inputdata!$L$60-'fertiliser demand calculation'!$G$6)))</f>
        <v>269.00760869565215</v>
      </c>
      <c r="H45">
        <f>IF('water demand calculation'!H40="","",IF((C45-'water demand calculation'!$E$3*'water demand calculation'!H40*0.75/1000-inputdata!$L$60)&lt;=0,0,IF((C45-'water demand calculation'!$E$3*'water demand calculation'!H40*0.75/1000-inputdata!$L$60-'fertiliser demand calculation'!$G$6)&lt;=0,0,C45-'water demand calculation'!$E$3*'water demand calculation'!H40*0.75/1000-inputdata!$L$60-'fertiliser demand calculation'!$G$6)))</f>
        <v>262.46159420289854</v>
      </c>
      <c r="I45">
        <f>IF(AND(F45="",G45="",H45=""),"",IF((SUM(F45:H45))=0,0,IF((M45*VLOOKUP($P$9,inputdata!$A$54:$D$58,2,0)/100+Q45*VLOOKUP($Q$9,inputdata!$A$60:$D$61,2,0)/100)&gt;=(SUM(F45:H45))*B45/1000,0,(((SUM(F45:H45))*B45/1000-(M45*VLOOKUP($P$9,inputdata!$A$54:$D$58,2,0)/100+Q45*VLOOKUP($Q$9,inputdata!$A$60:$D$61,2,0)/100))/VLOOKUP($O$9,inputdata!$A$63:$D$66,2,0)*100))))</f>
        <v>106.72287499109687</v>
      </c>
      <c r="J45" t="str">
        <f>IF('water demand calculation'!F40="","",IF(($D45-'water demand calculation'!$F$3*'water demand calculation'!F40/1000-inputdata!$L$58)&lt;=0,0,IF(($D45-'water demand calculation'!$F$3*'water demand calculation'!F40/1000-inputdata!$L$58-'fertiliser demand calculation'!$H$6)&lt;=0,0,$D45-'water demand calculation'!$F$3*'water demand calculation'!F40/1000-inputdata!$L$58-'fertiliser demand calculation'!$H$6)))</f>
        <v/>
      </c>
      <c r="K45">
        <f>IF('water demand calculation'!G40="","",IF(($D45-'water demand calculation'!$F$3*'water demand calculation'!G40/1000-inputdata!$L$58)&lt;=0,0,IF(($D45-'water demand calculation'!$F$3*'water demand calculation'!G40/1000-inputdata!$L$58-'fertiliser demand calculation'!$H$6)&lt;=0,0,$D45-'water demand calculation'!$F$3*'water demand calculation'!G40/1000-inputdata!$L$58-'fertiliser demand calculation'!$H$6)))</f>
        <v>32.696473429951695</v>
      </c>
      <c r="L45">
        <f>IF('water demand calculation'!H40="","",IF(($D45-'water demand calculation'!$F$3*'water demand calculation'!H40/1000-inputdata!$L$58)&lt;=0,0,IF(($D45-'water demand calculation'!$F$3*'water demand calculation'!H40/1000-inputdata!$L$58-'fertiliser demand calculation'!$H$6)&lt;=0,0,$D45-'water demand calculation'!$F$3*'water demand calculation'!H40/1000-inputdata!$L$58-'fertiliser demand calculation'!$H$6)))</f>
        <v>29.994943639291467</v>
      </c>
      <c r="M45">
        <f>IF(AND(J45="",K45="",L45=""),"",IF((SUM(J45:L45)*2.29*100/VLOOKUP('fertiliser demand calculation'!$P$9,inputdata!$A$54:$D$66,3,0))=0,0,((SUM(J45:L45)*2.29*100/VLOOKUP('fertiliser demand calculation'!$P$9,inputdata!$A$54:$D$66,3,0)))*B45/1000))</f>
        <v>32.235941562836295</v>
      </c>
      <c r="N45" t="str">
        <f>IF('water demand calculation'!F40="","",IF(($E45-'water demand calculation'!$G$3*'water demand calculation'!F40/1000-inputdata!$L$59)&lt;=0,0,IF(($E45-'water demand calculation'!$G$3*'water demand calculation'!F40/1000-inputdata!$L$59-'fertiliser demand calculation'!$I$6)&lt;=0,0,$E45-'water demand calculation'!$G$3*'water demand calculation'!F40/1000-inputdata!$L$59-'fertiliser demand calculation'!$I$6)))</f>
        <v/>
      </c>
      <c r="O45">
        <f>IF('water demand calculation'!G40="","",IF(($E45-'water demand calculation'!$G$3*'water demand calculation'!G40/1000-inputdata!$L$59)&lt;=0,0,IF(($E45-'water demand calculation'!$G$3*'water demand calculation'!G40/1000-inputdata!$L$59-'fertiliser demand calculation'!$I$6)&lt;=0,0,$E45-'water demand calculation'!$G$3*'water demand calculation'!G40/1000-inputdata!$L$59-'fertiliser demand calculation'!$I$6)))</f>
        <v>273.65748792270534</v>
      </c>
      <c r="P45">
        <f>IF('water demand calculation'!H40="","",IF(($E45-'water demand calculation'!$G$3*'water demand calculation'!H40/1000-inputdata!$L$59)&lt;=0,0,IF(($E45-'water demand calculation'!$G$3*'water demand calculation'!H40/1000-inputdata!$L$59-'fertiliser demand calculation'!$I$6)&lt;=0,0,$E45-'water demand calculation'!$G$3*'water demand calculation'!H40/1000-inputdata!$L$59-'fertiliser demand calculation'!$I$6)))</f>
        <v>252.87648953301129</v>
      </c>
      <c r="Q45">
        <f>IF(AND(N45="",O45="",P45=""),"",IF((SUM(N45:P45)*1.2*100/VLOOKUP('fertiliser demand calculation'!$Q$9,inputdata!$A$54:$D$66,4,0))=0,0,(SUM(N45:P45)*1.2*100/VLOOKUP('fertiliser demand calculation'!$Q$9,inputdata!$A$54:$D$66,4,0))*B45/1000))</f>
        <v>130.52456839504234</v>
      </c>
    </row>
    <row r="46" spans="1:20" x14ac:dyDescent="0.2">
      <c r="A46" s="65" t="str">
        <f>inputdata!A23</f>
        <v>Millets</v>
      </c>
      <c r="B46" s="1" t="str">
        <f>'water demand calculation'!D41</f>
        <v/>
      </c>
      <c r="C46" t="str">
        <f>IF(B46="","",inputdata!J23*inputdata!M23)</f>
        <v/>
      </c>
      <c r="D46" t="str">
        <f>IF(B46="","",inputdata!K23*inputdata!M23*0.44)</f>
        <v/>
      </c>
      <c r="E46" t="str">
        <f>IF(B46="","",inputdata!L23*inputdata!M23*0.83)</f>
        <v/>
      </c>
      <c r="F46" t="str">
        <f>IF('water demand calculation'!F41="","",IF((C46-'water demand calculation'!$E$3*'water demand calculation'!F41*0.75/1000-inputdata!$L$60)&lt;=0,0,IF((C46-'water demand calculation'!$E$3*'water demand calculation'!F41*0.75/1000-inputdata!$L$60-'fertiliser demand calculation'!$G$6)&lt;=0,0,C46-'water demand calculation'!$E$3*'water demand calculation'!F41*0.75/1000-inputdata!$L$60-'fertiliser demand calculation'!$G$6)))</f>
        <v/>
      </c>
      <c r="G46" t="str">
        <f>IF('water demand calculation'!G41="","",IF((C46-'water demand calculation'!$E$3*'water demand calculation'!G41*0.75/1000-inputdata!$L$60)&lt;=0,0,IF((C46-'water demand calculation'!$E$3*'water demand calculation'!G41*0.75/1000-inputdata!$L$60-'fertiliser demand calculation'!$G$6)&lt;=0,0,C46-'water demand calculation'!$E$3*'water demand calculation'!G41*0.75/1000-inputdata!$L$60-'fertiliser demand calculation'!$G$6)))</f>
        <v/>
      </c>
      <c r="H46" t="str">
        <f>IF('water demand calculation'!H41="","",IF((C46-'water demand calculation'!$E$3*'water demand calculation'!H41*0.75/1000-inputdata!$L$60)&lt;=0,0,IF((C46-'water demand calculation'!$E$3*'water demand calculation'!H41*0.75/1000-inputdata!$L$60-'fertiliser demand calculation'!$G$6)&lt;=0,0,C46-'water demand calculation'!$E$3*'water demand calculation'!H41*0.75/1000-inputdata!$L$60-'fertiliser demand calculation'!$G$6)))</f>
        <v/>
      </c>
      <c r="I46" t="str">
        <f>IF(AND(F46="",G46="",H46=""),"",IF((SUM(F46:H46))=0,0,IF((M46*VLOOKUP($P$9,inputdata!$A$54:$D$58,2,0)/100+Q46*VLOOKUP($Q$9,inputdata!$A$60:$D$61,2,0)/100)&gt;=(SUM(F46:H46))*B46/1000,0,(((SUM(F46:H46))*B46/1000-(M46*VLOOKUP($P$9,inputdata!$A$54:$D$58,2,0)/100+Q46*VLOOKUP($Q$9,inputdata!$A$60:$D$61,2,0)/100))/VLOOKUP($O$9,inputdata!$A$63:$D$66,2,0)*100))))</f>
        <v/>
      </c>
      <c r="J46" t="str">
        <f>IF('water demand calculation'!F41="","",IF(($D46-'water demand calculation'!$F$3*'water demand calculation'!F41/1000-inputdata!$L$58)&lt;=0,0,IF(($D46-'water demand calculation'!$F$3*'water demand calculation'!F41/1000-inputdata!$L$58-'fertiliser demand calculation'!$H$6)&lt;=0,0,$D46-'water demand calculation'!$F$3*'water demand calculation'!F41/1000-inputdata!$L$58-'fertiliser demand calculation'!$H$6)))</f>
        <v/>
      </c>
      <c r="K46" t="str">
        <f>IF('water demand calculation'!G41="","",IF(($D46-'water demand calculation'!$F$3*'water demand calculation'!G41/1000-inputdata!$L$58)&lt;=0,0,IF(($D46-'water demand calculation'!$F$3*'water demand calculation'!G41/1000-inputdata!$L$58-'fertiliser demand calculation'!$H$6)&lt;=0,0,$D46-'water demand calculation'!$F$3*'water demand calculation'!G41/1000-inputdata!$L$58-'fertiliser demand calculation'!$H$6)))</f>
        <v/>
      </c>
      <c r="L46" t="str">
        <f>IF('water demand calculation'!H41="","",IF(($D46-'water demand calculation'!$F$3*'water demand calculation'!H41/1000-inputdata!$L$58)&lt;=0,0,IF(($D46-'water demand calculation'!$F$3*'water demand calculation'!H41/1000-inputdata!$L$58-'fertiliser demand calculation'!$H$6)&lt;=0,0,$D46-'water demand calculation'!$F$3*'water demand calculation'!H41/1000-inputdata!$L$58-'fertiliser demand calculation'!$H$6)))</f>
        <v/>
      </c>
      <c r="M46" t="str">
        <f>IF(AND(J46="",K46="",L46=""),"",IF((SUM(J46:L46)*2.29*100/VLOOKUP('fertiliser demand calculation'!$P$9,inputdata!$A$54:$D$66,3,0))=0,0,((SUM(J46:L46)*2.29*100/VLOOKUP('fertiliser demand calculation'!$P$9,inputdata!$A$54:$D$66,3,0)))*B46/1000))</f>
        <v/>
      </c>
      <c r="N46" t="str">
        <f>IF('water demand calculation'!F41="","",IF(($E46-'water demand calculation'!$G$3*'water demand calculation'!F41/1000-inputdata!$L$59)&lt;=0,0,IF(($E46-'water demand calculation'!$G$3*'water demand calculation'!F41/1000-inputdata!$L$59-'fertiliser demand calculation'!$I$6)&lt;=0,0,$E46-'water demand calculation'!$G$3*'water demand calculation'!F41/1000-inputdata!$L$59-'fertiliser demand calculation'!$I$6)))</f>
        <v/>
      </c>
      <c r="O46" t="str">
        <f>IF('water demand calculation'!G41="","",IF(($E46-'water demand calculation'!$G$3*'water demand calculation'!G41/1000-inputdata!$L$59)&lt;=0,0,IF(($E46-'water demand calculation'!$G$3*'water demand calculation'!G41/1000-inputdata!$L$59-'fertiliser demand calculation'!$I$6)&lt;=0,0,$E46-'water demand calculation'!$G$3*'water demand calculation'!G41/1000-inputdata!$L$59-'fertiliser demand calculation'!$I$6)))</f>
        <v/>
      </c>
      <c r="P46" t="str">
        <f>IF('water demand calculation'!H41="","",IF(($E46-'water demand calculation'!$G$3*'water demand calculation'!H41/1000-inputdata!$L$59)&lt;=0,0,IF(($E46-'water demand calculation'!$G$3*'water demand calculation'!H41/1000-inputdata!$L$59-'fertiliser demand calculation'!$I$6)&lt;=0,0,$E46-'water demand calculation'!$G$3*'water demand calculation'!H41/1000-inputdata!$L$59-'fertiliser demand calculation'!$I$6)))</f>
        <v/>
      </c>
      <c r="Q46" t="str">
        <f>IF(AND(N46="",O46="",P46=""),"",IF((SUM(N46:P46)*1.2*100/VLOOKUP('fertiliser demand calculation'!$Q$9,inputdata!$A$54:$D$66,4,0))=0,0,(SUM(N46:P46)*1.2*100/VLOOKUP('fertiliser demand calculation'!$Q$9,inputdata!$A$54:$D$66,4,0))*B46/1000))</f>
        <v/>
      </c>
    </row>
    <row r="47" spans="1:20" x14ac:dyDescent="0.2">
      <c r="A47" s="65" t="str">
        <f>inputdata!A24</f>
        <v>tomato</v>
      </c>
      <c r="B47" s="1">
        <f>'water demand calculation'!D42</f>
        <v>826.31304584086979</v>
      </c>
      <c r="C47">
        <f>IF(B47="","",inputdata!J24*inputdata!M24)</f>
        <v>162</v>
      </c>
      <c r="D47">
        <f>IF(B47="","",inputdata!K24*inputdata!M24*0.44)</f>
        <v>20.195999999999998</v>
      </c>
      <c r="E47">
        <f>IF(B47="","",inputdata!L24*inputdata!M24*0.83)</f>
        <v>246.51</v>
      </c>
      <c r="F47" t="str">
        <f>IF('water demand calculation'!F42="","",IF((C47-'water demand calculation'!$E$3*'water demand calculation'!F42*0.75/1000-inputdata!$L$60)&lt;=0,0,IF((C47-'water demand calculation'!$E$3*'water demand calculation'!F42*0.75/1000-inputdata!$L$60-'fertiliser demand calculation'!$G$6)&lt;=0,0,C47-'water demand calculation'!$E$3*'water demand calculation'!F42*0.75/1000-inputdata!$L$60-'fertiliser demand calculation'!$G$6)))</f>
        <v/>
      </c>
      <c r="G47" t="str">
        <f>IF('water demand calculation'!G42="","",IF((C47-'water demand calculation'!$E$3*'water demand calculation'!G42*0.75/1000-inputdata!$L$60)&lt;=0,0,IF((C47-'water demand calculation'!$E$3*'water demand calculation'!G42*0.75/1000-inputdata!$L$60-'fertiliser demand calculation'!$G$6)&lt;=0,0,C47-'water demand calculation'!$E$3*'water demand calculation'!G42*0.75/1000-inputdata!$L$60-'fertiliser demand calculation'!$G$6)))</f>
        <v/>
      </c>
      <c r="H47">
        <f>IF('water demand calculation'!H42="","",IF((C47-'water demand calculation'!$E$3*'water demand calculation'!H42*0.75/1000-inputdata!$L$60)&lt;=0,0,IF((C47-'water demand calculation'!$E$3*'water demand calculation'!H42*0.75/1000-inputdata!$L$60-'fertiliser demand calculation'!$G$6)&lt;=0,0,C47-'water demand calculation'!$E$3*'water demand calculation'!H42*0.75/1000-inputdata!$L$60-'fertiliser demand calculation'!$G$6)))</f>
        <v>42.252272727272739</v>
      </c>
      <c r="I47">
        <f>IF(AND(F47="",G47="",H47=""),"",IF((SUM(F47:H47))=0,0,IF((M47*VLOOKUP($P$9,inputdata!$A$54:$D$58,2,0)/100+Q47*VLOOKUP($Q$9,inputdata!$A$60:$D$61,2,0)/100)&gt;=(SUM(F47:H47))*B47/1000,0,(((SUM(F47:H47))*B47/1000-(M47*VLOOKUP($P$9,inputdata!$A$54:$D$58,2,0)/100+Q47*VLOOKUP($Q$9,inputdata!$A$60:$D$61,2,0)/100))/VLOOKUP($O$9,inputdata!$A$63:$D$66,2,0)*100))))</f>
        <v>75.899139502112718</v>
      </c>
      <c r="J47" t="str">
        <f>IF('water demand calculation'!F42="","",IF(($D47-'water demand calculation'!$F$3*'water demand calculation'!F42/1000-inputdata!$L$58)&lt;=0,0,IF(($D47-'water demand calculation'!$F$3*'water demand calculation'!F42/1000-inputdata!$L$58-'fertiliser demand calculation'!$H$6)&lt;=0,0,$D47-'water demand calculation'!$F$3*'water demand calculation'!F42/1000-inputdata!$L$58-'fertiliser demand calculation'!$H$6)))</f>
        <v/>
      </c>
      <c r="K47" t="str">
        <f>IF('water demand calculation'!G42="","",IF(($D47-'water demand calculation'!$F$3*'water demand calculation'!G42/1000-inputdata!$L$58)&lt;=0,0,IF(($D47-'water demand calculation'!$F$3*'water demand calculation'!G42/1000-inputdata!$L$58-'fertiliser demand calculation'!$H$6)&lt;=0,0,$D47-'water demand calculation'!$F$3*'water demand calculation'!G42/1000-inputdata!$L$58-'fertiliser demand calculation'!$H$6)))</f>
        <v/>
      </c>
      <c r="L47">
        <f>IF('water demand calculation'!H42="","",IF(($D47-'water demand calculation'!$F$3*'water demand calculation'!H42/1000-inputdata!$L$58)&lt;=0,0,IF(($D47-'water demand calculation'!$F$3*'water demand calculation'!H42/1000-inputdata!$L$58-'fertiliser demand calculation'!$H$6)&lt;=0,0,$D47-'water demand calculation'!$F$3*'water demand calculation'!H42/1000-inputdata!$L$58-'fertiliser demand calculation'!$H$6)))</f>
        <v>0</v>
      </c>
      <c r="M47">
        <f>IF(AND(J47="",K47="",L47=""),"",IF((SUM(J47:L47)*2.29*100/VLOOKUP('fertiliser demand calculation'!$P$9,inputdata!$A$54:$D$66,3,0))=0,0,((SUM(J47:L47)*2.29*100/VLOOKUP('fertiliser demand calculation'!$P$9,inputdata!$A$54:$D$66,3,0)))*B47/1000))</f>
        <v>0</v>
      </c>
      <c r="N47" t="str">
        <f>IF('water demand calculation'!F42="","",IF(($E47-'water demand calculation'!$G$3*'water demand calculation'!F42/1000-inputdata!$L$59)&lt;=0,0,IF(($E47-'water demand calculation'!$G$3*'water demand calculation'!F42/1000-inputdata!$L$59-'fertiliser demand calculation'!$I$6)&lt;=0,0,$E47-'water demand calculation'!$G$3*'water demand calculation'!F42/1000-inputdata!$L$59-'fertiliser demand calculation'!$I$6)))</f>
        <v/>
      </c>
      <c r="O47" t="str">
        <f>IF('water demand calculation'!G42="","",IF(($E47-'water demand calculation'!$G$3*'water demand calculation'!G42/1000-inputdata!$L$59)&lt;=0,0,IF(($E47-'water demand calculation'!$G$3*'water demand calculation'!G42/1000-inputdata!$L$59-'fertiliser demand calculation'!$I$6)&lt;=0,0,$E47-'water demand calculation'!$G$3*'water demand calculation'!G42/1000-inputdata!$L$59-'fertiliser demand calculation'!$I$6)))</f>
        <v/>
      </c>
      <c r="P47">
        <f>IF('water demand calculation'!H42="","",IF(($E47-'water demand calculation'!$G$3*'water demand calculation'!H42/1000-inputdata!$L$59)&lt;=0,0,IF(($E47-'water demand calculation'!$G$3*'water demand calculation'!H42/1000-inputdata!$L$59-'fertiliser demand calculation'!$I$6)&lt;=0,0,$E47-'water demand calculation'!$G$3*'water demand calculation'!H42/1000-inputdata!$L$59-'fertiliser demand calculation'!$I$6)))</f>
        <v>0</v>
      </c>
      <c r="Q47">
        <f>IF(AND(N47="",O47="",P47=""),"",IF((SUM(N47:P47)*1.2*100/VLOOKUP('fertiliser demand calculation'!$Q$9,inputdata!$A$54:$D$66,4,0))=0,0,(SUM(N47:P47)*1.2*100/VLOOKUP('fertiliser demand calculation'!$Q$9,inputdata!$A$54:$D$66,4,0))*B47/1000))</f>
        <v>0</v>
      </c>
    </row>
    <row r="48" spans="1:20" x14ac:dyDescent="0.2">
      <c r="A48" s="65" t="str">
        <f>inputdata!A25</f>
        <v>water melon</v>
      </c>
      <c r="B48" s="1" t="str">
        <f>'water demand calculation'!D43</f>
        <v/>
      </c>
      <c r="C48" t="str">
        <f>IF(B48="","",inputdata!J25*inputdata!M25)</f>
        <v/>
      </c>
      <c r="D48" t="str">
        <f>IF(B48="","",inputdata!K25*inputdata!M25*0.44)</f>
        <v/>
      </c>
      <c r="E48" t="str">
        <f>IF(B48="","",inputdata!L25*inputdata!M25*0.83)</f>
        <v/>
      </c>
      <c r="F48" t="str">
        <f>IF('water demand calculation'!F43="","",IF((C48-'water demand calculation'!$E$3*'water demand calculation'!F43*0.75/1000-inputdata!$L$60)&lt;=0,0,IF((C48-'water demand calculation'!$E$3*'water demand calculation'!F43*0.75/1000-inputdata!$L$60-'fertiliser demand calculation'!$G$6)&lt;=0,0,C48-'water demand calculation'!$E$3*'water demand calculation'!F43*0.75/1000-inputdata!$L$60-'fertiliser demand calculation'!$G$6)))</f>
        <v/>
      </c>
      <c r="G48" t="str">
        <f>IF('water demand calculation'!G43="","",IF((C48-'water demand calculation'!$E$3*'water demand calculation'!G43*0.75/1000-inputdata!$L$60)&lt;=0,0,IF((C48-'water demand calculation'!$E$3*'water demand calculation'!G43*0.75/1000-inputdata!$L$60-'fertiliser demand calculation'!$G$6)&lt;=0,0,C48-'water demand calculation'!$E$3*'water demand calculation'!G43*0.75/1000-inputdata!$L$60-'fertiliser demand calculation'!$G$6)))</f>
        <v/>
      </c>
      <c r="H48" t="str">
        <f>IF('water demand calculation'!H43="","",IF((C48-'water demand calculation'!$E$3*'water demand calculation'!H43*0.75/1000-inputdata!$L$60)&lt;=0,0,IF((C48-'water demand calculation'!$E$3*'water demand calculation'!H43*0.75/1000-inputdata!$L$60-'fertiliser demand calculation'!$G$6)&lt;=0,0,C48-'water demand calculation'!$E$3*'water demand calculation'!H43*0.75/1000-inputdata!$L$60-'fertiliser demand calculation'!$G$6)))</f>
        <v/>
      </c>
      <c r="I48" t="str">
        <f>IF(AND(F48="",G48="",H48=""),"",IF((SUM(F48:H48))=0,0,IF((M48*VLOOKUP($P$9,inputdata!$A$54:$D$58,2,0)/100+Q48*VLOOKUP($Q$9,inputdata!$A$60:$D$61,2,0)/100)&gt;=(SUM(F48:H48))*B48/1000,0,(((SUM(F48:H48))*B48/1000-(M48*VLOOKUP($P$9,inputdata!$A$54:$D$58,2,0)/100+Q48*VLOOKUP($Q$9,inputdata!$A$60:$D$61,2,0)/100))/VLOOKUP($O$9,inputdata!$A$63:$D$66,2,0)*100))))</f>
        <v/>
      </c>
      <c r="J48" t="str">
        <f>IF('water demand calculation'!F43="","",IF(($D48-'water demand calculation'!$F$3*'water demand calculation'!F43/1000-inputdata!$L$58)&lt;=0,0,IF(($D48-'water demand calculation'!$F$3*'water demand calculation'!F43/1000-inputdata!$L$58-'fertiliser demand calculation'!$H$6)&lt;=0,0,$D48-'water demand calculation'!$F$3*'water demand calculation'!F43/1000-inputdata!$L$58-'fertiliser demand calculation'!$H$6)))</f>
        <v/>
      </c>
      <c r="K48" t="str">
        <f>IF('water demand calculation'!G43="","",IF(($D48-'water demand calculation'!$F$3*'water demand calculation'!G43/1000-inputdata!$L$58)&lt;=0,0,IF(($D48-'water demand calculation'!$F$3*'water demand calculation'!G43/1000-inputdata!$L$58-'fertiliser demand calculation'!$H$6)&lt;=0,0,$D48-'water demand calculation'!$F$3*'water demand calculation'!G43/1000-inputdata!$L$58-'fertiliser demand calculation'!$H$6)))</f>
        <v/>
      </c>
      <c r="L48" t="str">
        <f>IF('water demand calculation'!H43="","",IF(($D48-'water demand calculation'!$F$3*'water demand calculation'!H43/1000-inputdata!$L$58)&lt;=0,0,IF(($D48-'water demand calculation'!$F$3*'water demand calculation'!H43/1000-inputdata!$L$58-'fertiliser demand calculation'!$H$6)&lt;=0,0,$D48-'water demand calculation'!$F$3*'water demand calculation'!H43/1000-inputdata!$L$58-'fertiliser demand calculation'!$H$6)))</f>
        <v/>
      </c>
      <c r="M48" t="str">
        <f>IF(AND(J48="",K48="",L48=""),"",IF((SUM(J48:L48)*2.29*100/VLOOKUP('fertiliser demand calculation'!$P$9,inputdata!$A$54:$D$66,3,0))=0,0,((SUM(J48:L48)*2.29*100/VLOOKUP('fertiliser demand calculation'!$P$9,inputdata!$A$54:$D$66,3,0)))*B48/1000))</f>
        <v/>
      </c>
      <c r="N48" t="str">
        <f>IF('water demand calculation'!F43="","",IF(($E48-'water demand calculation'!$G$3*'water demand calculation'!F43/1000-inputdata!$L$59)&lt;=0,0,IF(($E48-'water demand calculation'!$G$3*'water demand calculation'!F43/1000-inputdata!$L$59-'fertiliser demand calculation'!$I$6)&lt;=0,0,$E48-'water demand calculation'!$G$3*'water demand calculation'!F43/1000-inputdata!$L$59-'fertiliser demand calculation'!$I$6)))</f>
        <v/>
      </c>
      <c r="O48" t="str">
        <f>IF('water demand calculation'!G43="","",IF(($E48-'water demand calculation'!$G$3*'water demand calculation'!G43/1000-inputdata!$L$59)&lt;=0,0,IF(($E48-'water demand calculation'!$G$3*'water demand calculation'!G43/1000-inputdata!$L$59-'fertiliser demand calculation'!$I$6)&lt;=0,0,$E48-'water demand calculation'!$G$3*'water demand calculation'!G43/1000-inputdata!$L$59-'fertiliser demand calculation'!$I$6)))</f>
        <v/>
      </c>
      <c r="P48" t="str">
        <f>IF('water demand calculation'!H43="","",IF(($E48-'water demand calculation'!$G$3*'water demand calculation'!H43/1000-inputdata!$L$59)&lt;=0,0,IF(($E48-'water demand calculation'!$G$3*'water demand calculation'!H43/1000-inputdata!$L$59-'fertiliser demand calculation'!$I$6)&lt;=0,0,$E48-'water demand calculation'!$G$3*'water demand calculation'!H43/1000-inputdata!$L$59-'fertiliser demand calculation'!$I$6)))</f>
        <v/>
      </c>
      <c r="Q48" t="str">
        <f>IF(AND(N48="",O48="",P48=""),"",IF((SUM(N48:P48)*1.2*100/VLOOKUP('fertiliser demand calculation'!$Q$9,inputdata!$A$54:$D$66,4,0))=0,0,(SUM(N48:P48)*1.2*100/VLOOKUP('fertiliser demand calculation'!$Q$9,inputdata!$A$54:$D$66,4,0))*B48/1000))</f>
        <v/>
      </c>
    </row>
    <row r="49" spans="1:17" x14ac:dyDescent="0.2">
      <c r="A49" s="65" t="str">
        <f>inputdata!A26</f>
        <v>cucumber</v>
      </c>
      <c r="B49" s="1" t="str">
        <f>'water demand calculation'!D44</f>
        <v/>
      </c>
      <c r="C49" t="str">
        <f>IF(B49="","",inputdata!J26*inputdata!M26)</f>
        <v/>
      </c>
      <c r="D49" t="str">
        <f>IF(B49="","",inputdata!K26*inputdata!M26*0.44)</f>
        <v/>
      </c>
      <c r="E49" t="str">
        <f>IF(B49="","",inputdata!L26*inputdata!M26*0.83)</f>
        <v/>
      </c>
      <c r="F49" t="str">
        <f>IF('water demand calculation'!F44="","",IF((C49-'water demand calculation'!$E$3*'water demand calculation'!F44*0.75/1000-inputdata!$L$60)&lt;=0,0,IF((C49-'water demand calculation'!$E$3*'water demand calculation'!F44*0.75/1000-inputdata!$L$60-'fertiliser demand calculation'!$G$6)&lt;=0,0,C49-'water demand calculation'!$E$3*'water demand calculation'!F44*0.75/1000-inputdata!$L$60-'fertiliser demand calculation'!$G$6)))</f>
        <v/>
      </c>
      <c r="G49" t="str">
        <f>IF('water demand calculation'!G44="","",IF((C49-'water demand calculation'!$E$3*'water demand calculation'!G44*0.75/1000-inputdata!$L$60)&lt;=0,0,IF((C49-'water demand calculation'!$E$3*'water demand calculation'!G44*0.75/1000-inputdata!$L$60-'fertiliser demand calculation'!$G$6)&lt;=0,0,C49-'water demand calculation'!$E$3*'water demand calculation'!G44*0.75/1000-inputdata!$L$60-'fertiliser demand calculation'!$G$6)))</f>
        <v/>
      </c>
      <c r="H49" t="str">
        <f>IF('water demand calculation'!H44="","",IF((C49-'water demand calculation'!$E$3*'water demand calculation'!H44*0.75/1000-inputdata!$L$60)&lt;=0,0,IF((C49-'water demand calculation'!$E$3*'water demand calculation'!H44*0.75/1000-inputdata!$L$60-'fertiliser demand calculation'!$G$6)&lt;=0,0,C49-'water demand calculation'!$E$3*'water demand calculation'!H44*0.75/1000-inputdata!$L$60-'fertiliser demand calculation'!$G$6)))</f>
        <v/>
      </c>
      <c r="I49" t="str">
        <f>IF(AND(F49="",G49="",H49=""),"",IF((SUM(F49:H49))=0,0,IF((M49*VLOOKUP($P$9,inputdata!$A$54:$D$58,2,0)/100+Q49*VLOOKUP($Q$9,inputdata!$A$60:$D$61,2,0)/100)&gt;=(SUM(F49:H49))*B49/1000,0,(((SUM(F49:H49))*B49/1000-(M49*VLOOKUP($P$9,inputdata!$A$54:$D$58,2,0)/100+Q49*VLOOKUP($Q$9,inputdata!$A$60:$D$61,2,0)/100))/VLOOKUP($O$9,inputdata!$A$63:$D$66,2,0)*100))))</f>
        <v/>
      </c>
      <c r="J49" t="str">
        <f>IF('water demand calculation'!F44="","",IF(($D49-'water demand calculation'!$F$3*'water demand calculation'!F44/1000-inputdata!$L$58)&lt;=0,0,IF(($D49-'water demand calculation'!$F$3*'water demand calculation'!F44/1000-inputdata!$L$58-'fertiliser demand calculation'!$H$6)&lt;=0,0,$D49-'water demand calculation'!$F$3*'water demand calculation'!F44/1000-inputdata!$L$58-'fertiliser demand calculation'!$H$6)))</f>
        <v/>
      </c>
      <c r="K49" t="str">
        <f>IF('water demand calculation'!G44="","",IF(($D49-'water demand calculation'!$F$3*'water demand calculation'!G44/1000-inputdata!$L$58)&lt;=0,0,IF(($D49-'water demand calculation'!$F$3*'water demand calculation'!G44/1000-inputdata!$L$58-'fertiliser demand calculation'!$H$6)&lt;=0,0,$D49-'water demand calculation'!$F$3*'water demand calculation'!G44/1000-inputdata!$L$58-'fertiliser demand calculation'!$H$6)))</f>
        <v/>
      </c>
      <c r="L49" t="str">
        <f>IF('water demand calculation'!H44="","",IF(($D49-'water demand calculation'!$F$3*'water demand calculation'!H44/1000-inputdata!$L$58)&lt;=0,0,IF(($D49-'water demand calculation'!$F$3*'water demand calculation'!H44/1000-inputdata!$L$58-'fertiliser demand calculation'!$H$6)&lt;=0,0,$D49-'water demand calculation'!$F$3*'water demand calculation'!H44/1000-inputdata!$L$58-'fertiliser demand calculation'!$H$6)))</f>
        <v/>
      </c>
      <c r="M49" t="str">
        <f>IF(AND(J49="",K49="",L49=""),"",IF((SUM(J49:L49)*2.29*100/VLOOKUP('fertiliser demand calculation'!$P$9,inputdata!$A$54:$D$66,3,0))=0,0,((SUM(J49:L49)*2.29*100/VLOOKUP('fertiliser demand calculation'!$P$9,inputdata!$A$54:$D$66,3,0)))*B49/1000))</f>
        <v/>
      </c>
      <c r="N49" t="str">
        <f>IF('water demand calculation'!F44="","",IF(($E49-'water demand calculation'!$G$3*'water demand calculation'!F44/1000-inputdata!$L$59)&lt;=0,0,IF(($E49-'water demand calculation'!$G$3*'water demand calculation'!F44/1000-inputdata!$L$59-'fertiliser demand calculation'!$I$6)&lt;=0,0,$E49-'water demand calculation'!$G$3*'water demand calculation'!F44/1000-inputdata!$L$59-'fertiliser demand calculation'!$I$6)))</f>
        <v/>
      </c>
      <c r="O49" t="str">
        <f>IF('water demand calculation'!G44="","",IF(($E49-'water demand calculation'!$G$3*'water demand calculation'!G44/1000-inputdata!$L$59)&lt;=0,0,IF(($E49-'water demand calculation'!$G$3*'water demand calculation'!G44/1000-inputdata!$L$59-'fertiliser demand calculation'!$I$6)&lt;=0,0,$E49-'water demand calculation'!$G$3*'water demand calculation'!G44/1000-inputdata!$L$59-'fertiliser demand calculation'!$I$6)))</f>
        <v/>
      </c>
      <c r="P49" t="str">
        <f>IF('water demand calculation'!H44="","",IF(($E49-'water demand calculation'!$G$3*'water demand calculation'!H44/1000-inputdata!$L$59)&lt;=0,0,IF(($E49-'water demand calculation'!$G$3*'water demand calculation'!H44/1000-inputdata!$L$59-'fertiliser demand calculation'!$I$6)&lt;=0,0,$E49-'water demand calculation'!$G$3*'water demand calculation'!H44/1000-inputdata!$L$59-'fertiliser demand calculation'!$I$6)))</f>
        <v/>
      </c>
      <c r="Q49" t="str">
        <f>IF(AND(N49="",O49="",P49=""),"",IF((SUM(N49:P49)*1.2*100/VLOOKUP('fertiliser demand calculation'!$Q$9,inputdata!$A$54:$D$66,4,0))=0,0,(SUM(N49:P49)*1.2*100/VLOOKUP('fertiliser demand calculation'!$Q$9,inputdata!$A$54:$D$66,4,0))*B49/1000))</f>
        <v/>
      </c>
    </row>
    <row r="50" spans="1:17" x14ac:dyDescent="0.2">
      <c r="A50" s="65" t="str">
        <f>inputdata!A27</f>
        <v>eggplant</v>
      </c>
      <c r="B50" s="1" t="str">
        <f>'water demand calculation'!D45</f>
        <v/>
      </c>
      <c r="C50" t="str">
        <f>IF(B50="","",inputdata!J27*inputdata!M27)</f>
        <v/>
      </c>
      <c r="D50" t="str">
        <f>IF(B50="","",inputdata!K27*inputdata!M27*0.44)</f>
        <v/>
      </c>
      <c r="E50" t="str">
        <f>IF(B50="","",inputdata!L27*inputdata!M27*0.83)</f>
        <v/>
      </c>
      <c r="F50" t="str">
        <f>IF('water demand calculation'!F45="","",IF((C50-'water demand calculation'!$E$3*'water demand calculation'!F45*0.75/1000-inputdata!$L$60)&lt;=0,0,IF((C50-'water demand calculation'!$E$3*'water demand calculation'!F45*0.75/1000-inputdata!$L$60-'fertiliser demand calculation'!$G$6)&lt;=0,0,C50-'water demand calculation'!$E$3*'water demand calculation'!F45*0.75/1000-inputdata!$L$60-'fertiliser demand calculation'!$G$6)))</f>
        <v/>
      </c>
      <c r="G50" t="str">
        <f>IF('water demand calculation'!G45="","",IF((C50-'water demand calculation'!$E$3*'water demand calculation'!G45*0.75/1000-inputdata!$L$60)&lt;=0,0,IF((C50-'water demand calculation'!$E$3*'water demand calculation'!G45*0.75/1000-inputdata!$L$60-'fertiliser demand calculation'!$G$6)&lt;=0,0,C50-'water demand calculation'!$E$3*'water demand calculation'!G45*0.75/1000-inputdata!$L$60-'fertiliser demand calculation'!$G$6)))</f>
        <v/>
      </c>
      <c r="H50" t="str">
        <f>IF('water demand calculation'!H45="","",IF((C50-'water demand calculation'!$E$3*'water demand calculation'!H45*0.75/1000-inputdata!$L$60)&lt;=0,0,IF((C50-'water demand calculation'!$E$3*'water demand calculation'!H45*0.75/1000-inputdata!$L$60-'fertiliser demand calculation'!$G$6)&lt;=0,0,C50-'water demand calculation'!$E$3*'water demand calculation'!H45*0.75/1000-inputdata!$L$60-'fertiliser demand calculation'!$G$6)))</f>
        <v/>
      </c>
      <c r="I50" t="str">
        <f>IF(AND(F50="",G50="",H50=""),"",IF((SUM(F50:H50))=0,0,IF((M50*VLOOKUP($P$9,inputdata!$A$54:$D$58,2,0)/100+Q50*VLOOKUP($Q$9,inputdata!$A$60:$D$61,2,0)/100)&gt;=(SUM(F50:H50))*B50/1000,0,(((SUM(F50:H50))*B50/1000-(M50*VLOOKUP($P$9,inputdata!$A$54:$D$58,2,0)/100+Q50*VLOOKUP($Q$9,inputdata!$A$60:$D$61,2,0)/100))/VLOOKUP($O$9,inputdata!$A$63:$D$66,2,0)*100))))</f>
        <v/>
      </c>
      <c r="J50" t="str">
        <f>IF('water demand calculation'!F45="","",IF(($D50-'water demand calculation'!$F$3*'water demand calculation'!F45/1000-inputdata!$L$58)&lt;=0,0,IF(($D50-'water demand calculation'!$F$3*'water demand calculation'!F45/1000-inputdata!$L$58-'fertiliser demand calculation'!$H$6)&lt;=0,0,$D50-'water demand calculation'!$F$3*'water demand calculation'!F45/1000-inputdata!$L$58-'fertiliser demand calculation'!$H$6)))</f>
        <v/>
      </c>
      <c r="K50" t="str">
        <f>IF('water demand calculation'!G45="","",IF(($D50-'water demand calculation'!$F$3*'water demand calculation'!G45/1000-inputdata!$L$58)&lt;=0,0,IF(($D50-'water demand calculation'!$F$3*'water demand calculation'!G45/1000-inputdata!$L$58-'fertiliser demand calculation'!$H$6)&lt;=0,0,$D50-'water demand calculation'!$F$3*'water demand calculation'!G45/1000-inputdata!$L$58-'fertiliser demand calculation'!$H$6)))</f>
        <v/>
      </c>
      <c r="L50" t="str">
        <f>IF('water demand calculation'!H45="","",IF(($D50-'water demand calculation'!$F$3*'water demand calculation'!H45/1000-inputdata!$L$58)&lt;=0,0,IF(($D50-'water demand calculation'!$F$3*'water demand calculation'!H45/1000-inputdata!$L$58-'fertiliser demand calculation'!$H$6)&lt;=0,0,$D50-'water demand calculation'!$F$3*'water demand calculation'!H45/1000-inputdata!$L$58-'fertiliser demand calculation'!$H$6)))</f>
        <v/>
      </c>
      <c r="M50" t="str">
        <f>IF(AND(J50="",K50="",L50=""),"",IF((SUM(J50:L50)*2.29*100/VLOOKUP('fertiliser demand calculation'!$P$9,inputdata!$A$54:$D$66,3,0))=0,0,((SUM(J50:L50)*2.29*100/VLOOKUP('fertiliser demand calculation'!$P$9,inputdata!$A$54:$D$66,3,0)))*B50/1000))</f>
        <v/>
      </c>
      <c r="N50" t="str">
        <f>IF('water demand calculation'!F45="","",IF(($E50-'water demand calculation'!$G$3*'water demand calculation'!F45/1000-inputdata!$L$59)&lt;=0,0,IF(($E50-'water demand calculation'!$G$3*'water demand calculation'!F45/1000-inputdata!$L$59-'fertiliser demand calculation'!$I$6)&lt;=0,0,$E50-'water demand calculation'!$G$3*'water demand calculation'!F45/1000-inputdata!$L$59-'fertiliser demand calculation'!$I$6)))</f>
        <v/>
      </c>
      <c r="O50" t="str">
        <f>IF('water demand calculation'!G45="","",IF(($E50-'water demand calculation'!$G$3*'water demand calculation'!G45/1000-inputdata!$L$59)&lt;=0,0,IF(($E50-'water demand calculation'!$G$3*'water demand calculation'!G45/1000-inputdata!$L$59-'fertiliser demand calculation'!$I$6)&lt;=0,0,$E50-'water demand calculation'!$G$3*'water demand calculation'!G45/1000-inputdata!$L$59-'fertiliser demand calculation'!$I$6)))</f>
        <v/>
      </c>
      <c r="P50" t="str">
        <f>IF('water demand calculation'!H45="","",IF(($E50-'water demand calculation'!$G$3*'water demand calculation'!H45/1000-inputdata!$L$59)&lt;=0,0,IF(($E50-'water demand calculation'!$G$3*'water demand calculation'!H45/1000-inputdata!$L$59-'fertiliser demand calculation'!$I$6)&lt;=0,0,$E50-'water demand calculation'!$G$3*'water demand calculation'!H45/1000-inputdata!$L$59-'fertiliser demand calculation'!$I$6)))</f>
        <v/>
      </c>
      <c r="Q50" t="str">
        <f>IF(AND(N50="",O50="",P50=""),"",IF((SUM(N50:P50)*1.2*100/VLOOKUP('fertiliser demand calculation'!$Q$9,inputdata!$A$54:$D$66,4,0))=0,0,(SUM(N50:P50)*1.2*100/VLOOKUP('fertiliser demand calculation'!$Q$9,inputdata!$A$54:$D$66,4,0))*B50/1000))</f>
        <v/>
      </c>
    </row>
    <row r="51" spans="1:17" x14ac:dyDescent="0.2">
      <c r="A51" s="65" t="str">
        <f>inputdata!A28</f>
        <v>pepper</v>
      </c>
      <c r="B51" s="1" t="str">
        <f>'water demand calculation'!D46</f>
        <v/>
      </c>
      <c r="C51" t="str">
        <f>IF(B51="","",inputdata!J28*inputdata!M28)</f>
        <v/>
      </c>
      <c r="D51" t="str">
        <f>IF(B51="","",inputdata!K28*inputdata!M28*0.44)</f>
        <v/>
      </c>
      <c r="E51" t="str">
        <f>IF(B51="","",inputdata!L28*inputdata!M28*0.83)</f>
        <v/>
      </c>
      <c r="F51" t="str">
        <f>IF('water demand calculation'!F46="","",IF((C51-'water demand calculation'!$E$3*'water demand calculation'!F46*0.75/1000-inputdata!$L$60)&lt;=0,0,IF((C51-'water demand calculation'!$E$3*'water demand calculation'!F46*0.75/1000-inputdata!$L$60-'fertiliser demand calculation'!$G$6)&lt;=0,0,C51-'water demand calculation'!$E$3*'water demand calculation'!F46*0.75/1000-inputdata!$L$60-'fertiliser demand calculation'!$G$6)))</f>
        <v/>
      </c>
      <c r="G51" t="str">
        <f>IF('water demand calculation'!G46="","",IF((C51-'water demand calculation'!$E$3*'water demand calculation'!G46*0.75/1000-inputdata!$L$60)&lt;=0,0,IF((C51-'water demand calculation'!$E$3*'water demand calculation'!G46*0.75/1000-inputdata!$L$60-'fertiliser demand calculation'!$G$6)&lt;=0,0,C51-'water demand calculation'!$E$3*'water demand calculation'!G46*0.75/1000-inputdata!$L$60-'fertiliser demand calculation'!$G$6)))</f>
        <v/>
      </c>
      <c r="H51" t="str">
        <f>IF('water demand calculation'!H46="","",IF((C51-'water demand calculation'!$E$3*'water demand calculation'!H46*0.75/1000-inputdata!$L$60)&lt;=0,0,IF((C51-'water demand calculation'!$E$3*'water demand calculation'!H46*0.75/1000-inputdata!$L$60-'fertiliser demand calculation'!$G$6)&lt;=0,0,C51-'water demand calculation'!$E$3*'water demand calculation'!H46*0.75/1000-inputdata!$L$60-'fertiliser demand calculation'!$G$6)))</f>
        <v/>
      </c>
      <c r="I51" t="str">
        <f>IF(AND(F51="",G51="",H51=""),"",IF((SUM(F51:H51))=0,0,IF((M51*VLOOKUP($P$9,inputdata!$A$54:$D$58,2,0)/100+Q51*VLOOKUP($Q$9,inputdata!$A$60:$D$61,2,0)/100)&gt;=(SUM(F51:H51))*B51/1000,0,(((SUM(F51:H51))*B51/1000-(M51*VLOOKUP($P$9,inputdata!$A$54:$D$58,2,0)/100+Q51*VLOOKUP($Q$9,inputdata!$A$60:$D$61,2,0)/100))/VLOOKUP($O$9,inputdata!$A$63:$D$66,2,0)*100))))</f>
        <v/>
      </c>
      <c r="J51" t="str">
        <f>IF('water demand calculation'!F46="","",IF(($D51-'water demand calculation'!$F$3*'water demand calculation'!F46/1000-inputdata!$L$58)&lt;=0,0,IF(($D51-'water demand calculation'!$F$3*'water demand calculation'!F46/1000-inputdata!$L$58-'fertiliser demand calculation'!$H$6)&lt;=0,0,$D51-'water demand calculation'!$F$3*'water demand calculation'!F46/1000-inputdata!$L$58-'fertiliser demand calculation'!$H$6)))</f>
        <v/>
      </c>
      <c r="K51" t="str">
        <f>IF('water demand calculation'!G46="","",IF(($D51-'water demand calculation'!$F$3*'water demand calculation'!G46/1000-inputdata!$L$58)&lt;=0,0,IF(($D51-'water demand calculation'!$F$3*'water demand calculation'!G46/1000-inputdata!$L$58-'fertiliser demand calculation'!$H$6)&lt;=0,0,$D51-'water demand calculation'!$F$3*'water demand calculation'!G46/1000-inputdata!$L$58-'fertiliser demand calculation'!$H$6)))</f>
        <v/>
      </c>
      <c r="L51" t="str">
        <f>IF('water demand calculation'!H46="","",IF(($D51-'water demand calculation'!$F$3*'water demand calculation'!H46/1000-inputdata!$L$58)&lt;=0,0,IF(($D51-'water demand calculation'!$F$3*'water demand calculation'!H46/1000-inputdata!$L$58-'fertiliser demand calculation'!$H$6)&lt;=0,0,$D51-'water demand calculation'!$F$3*'water demand calculation'!H46/1000-inputdata!$L$58-'fertiliser demand calculation'!$H$6)))</f>
        <v/>
      </c>
      <c r="M51" t="str">
        <f>IF(AND(J51="",K51="",L51=""),"",IF((SUM(J51:L51)*2.29*100/VLOOKUP('fertiliser demand calculation'!$P$9,inputdata!$A$54:$D$66,3,0))=0,0,((SUM(J51:L51)*2.29*100/VLOOKUP('fertiliser demand calculation'!$P$9,inputdata!$A$54:$D$66,3,0)))*B51/1000))</f>
        <v/>
      </c>
      <c r="N51" t="str">
        <f>IF('water demand calculation'!F46="","",IF(($E51-'water demand calculation'!$G$3*'water demand calculation'!F46/1000-inputdata!$L$59)&lt;=0,0,IF(($E51-'water demand calculation'!$G$3*'water demand calculation'!F46/1000-inputdata!$L$59-'fertiliser demand calculation'!$I$6)&lt;=0,0,$E51-'water demand calculation'!$G$3*'water demand calculation'!F46/1000-inputdata!$L$59-'fertiliser demand calculation'!$I$6)))</f>
        <v/>
      </c>
      <c r="O51" t="str">
        <f>IF('water demand calculation'!G46="","",IF(($E51-'water demand calculation'!$G$3*'water demand calculation'!G46/1000-inputdata!$L$59)&lt;=0,0,IF(($E51-'water demand calculation'!$G$3*'water demand calculation'!G46/1000-inputdata!$L$59-'fertiliser demand calculation'!$I$6)&lt;=0,0,$E51-'water demand calculation'!$G$3*'water demand calculation'!G46/1000-inputdata!$L$59-'fertiliser demand calculation'!$I$6)))</f>
        <v/>
      </c>
      <c r="P51" t="str">
        <f>IF('water demand calculation'!H46="","",IF(($E51-'water demand calculation'!$G$3*'water demand calculation'!H46/1000-inputdata!$L$59)&lt;=0,0,IF(($E51-'water demand calculation'!$G$3*'water demand calculation'!H46/1000-inputdata!$L$59-'fertiliser demand calculation'!$I$6)&lt;=0,0,$E51-'water demand calculation'!$G$3*'water demand calculation'!H46/1000-inputdata!$L$59-'fertiliser demand calculation'!$I$6)))</f>
        <v/>
      </c>
      <c r="Q51" t="str">
        <f>IF(AND(N51="",O51="",P51=""),"",IF((SUM(N51:P51)*1.2*100/VLOOKUP('fertiliser demand calculation'!$Q$9,inputdata!$A$54:$D$66,4,0))=0,0,(SUM(N51:P51)*1.2*100/VLOOKUP('fertiliser demand calculation'!$Q$9,inputdata!$A$54:$D$66,4,0))*B51/1000))</f>
        <v/>
      </c>
    </row>
    <row r="52" spans="1:17" x14ac:dyDescent="0.2">
      <c r="A52" s="65" t="str">
        <f>inputdata!A29</f>
        <v>cauliflower</v>
      </c>
      <c r="B52" s="1" t="str">
        <f>'water demand calculation'!D47</f>
        <v/>
      </c>
      <c r="C52" t="str">
        <f>IF(B52="","",inputdata!J29*inputdata!M29)</f>
        <v/>
      </c>
      <c r="D52" t="str">
        <f>IF(B52="","",inputdata!K29*inputdata!M29*0.44)</f>
        <v/>
      </c>
      <c r="E52" t="str">
        <f>IF(B52="","",inputdata!L29*inputdata!M29*0.83)</f>
        <v/>
      </c>
      <c r="F52" t="str">
        <f>IF('water demand calculation'!F47="","",IF((C52-'water demand calculation'!$E$3*'water demand calculation'!F47*0.75/1000-inputdata!$L$60)&lt;=0,0,IF((C52-'water demand calculation'!$E$3*'water demand calculation'!F47*0.75/1000-inputdata!$L$60-'fertiliser demand calculation'!$G$6)&lt;=0,0,C52-'water demand calculation'!$E$3*'water demand calculation'!F47*0.75/1000-inputdata!$L$60-'fertiliser demand calculation'!$G$6)))</f>
        <v/>
      </c>
      <c r="G52" t="str">
        <f>IF('water demand calculation'!G47="","",IF((C52-'water demand calculation'!$E$3*'water demand calculation'!G47*0.75/1000-inputdata!$L$60)&lt;=0,0,IF((C52-'water demand calculation'!$E$3*'water demand calculation'!G47*0.75/1000-inputdata!$L$60-'fertiliser demand calculation'!$G$6)&lt;=0,0,C52-'water demand calculation'!$E$3*'water demand calculation'!G47*0.75/1000-inputdata!$L$60-'fertiliser demand calculation'!$G$6)))</f>
        <v/>
      </c>
      <c r="H52" t="str">
        <f>IF('water demand calculation'!H47="","",IF((C52-'water demand calculation'!$E$3*'water demand calculation'!H47*0.75/1000-inputdata!$L$60)&lt;=0,0,IF((C52-'water demand calculation'!$E$3*'water demand calculation'!H47*0.75/1000-inputdata!$L$60-'fertiliser demand calculation'!$G$6)&lt;=0,0,C52-'water demand calculation'!$E$3*'water demand calculation'!H47*0.75/1000-inputdata!$L$60-'fertiliser demand calculation'!$G$6)))</f>
        <v/>
      </c>
      <c r="I52" t="str">
        <f>IF(AND(F52="",G52="",H52=""),"",IF((SUM(F52:H52))=0,0,IF((M52*VLOOKUP($P$9,inputdata!$A$54:$D$58,2,0)/100+Q52*VLOOKUP($Q$9,inputdata!$A$60:$D$61,2,0)/100)&gt;=(SUM(F52:H52))*B52/1000,0,(((SUM(F52:H52))*B52/1000-(M52*VLOOKUP($P$9,inputdata!$A$54:$D$58,2,0)/100+Q52*VLOOKUP($Q$9,inputdata!$A$60:$D$61,2,0)/100))/VLOOKUP($O$9,inputdata!$A$63:$D$66,2,0)*100))))</f>
        <v/>
      </c>
      <c r="J52" t="str">
        <f>IF('water demand calculation'!F47="","",IF(($D52-'water demand calculation'!$F$3*'water demand calculation'!F47/1000-inputdata!$L$58)&lt;=0,0,IF(($D52-'water demand calculation'!$F$3*'water demand calculation'!F47/1000-inputdata!$L$58-'fertiliser demand calculation'!$H$6)&lt;=0,0,$D52-'water demand calculation'!$F$3*'water demand calculation'!F47/1000-inputdata!$L$58-'fertiliser demand calculation'!$H$6)))</f>
        <v/>
      </c>
      <c r="K52" t="str">
        <f>IF('water demand calculation'!G47="","",IF(($D52-'water demand calculation'!$F$3*'water demand calculation'!G47/1000-inputdata!$L$58)&lt;=0,0,IF(($D52-'water demand calculation'!$F$3*'water demand calculation'!G47/1000-inputdata!$L$58-'fertiliser demand calculation'!$H$6)&lt;=0,0,$D52-'water demand calculation'!$F$3*'water demand calculation'!G47/1000-inputdata!$L$58-'fertiliser demand calculation'!$H$6)))</f>
        <v/>
      </c>
      <c r="L52" t="str">
        <f>IF('water demand calculation'!H47="","",IF(($D52-'water demand calculation'!$F$3*'water demand calculation'!H47/1000-inputdata!$L$58)&lt;=0,0,IF(($D52-'water demand calculation'!$F$3*'water demand calculation'!H47/1000-inputdata!$L$58-'fertiliser demand calculation'!$H$6)&lt;=0,0,$D52-'water demand calculation'!$F$3*'water demand calculation'!H47/1000-inputdata!$L$58-'fertiliser demand calculation'!$H$6)))</f>
        <v/>
      </c>
      <c r="M52" t="str">
        <f>IF(AND(J52="",K52="",L52=""),"",IF((SUM(J52:L52)*2.29*100/VLOOKUP('fertiliser demand calculation'!$P$9,inputdata!$A$54:$D$66,3,0))=0,0,((SUM(J52:L52)*2.29*100/VLOOKUP('fertiliser demand calculation'!$P$9,inputdata!$A$54:$D$66,3,0)))*B52/1000))</f>
        <v/>
      </c>
      <c r="N52" t="str">
        <f>IF('water demand calculation'!F47="","",IF(($E52-'water demand calculation'!$G$3*'water demand calculation'!F47/1000-inputdata!$L$59)&lt;=0,0,IF(($E52-'water demand calculation'!$G$3*'water demand calculation'!F47/1000-inputdata!$L$59-'fertiliser demand calculation'!$I$6)&lt;=0,0,$E52-'water demand calculation'!$G$3*'water demand calculation'!F47/1000-inputdata!$L$59-'fertiliser demand calculation'!$I$6)))</f>
        <v/>
      </c>
      <c r="O52" t="str">
        <f>IF('water demand calculation'!G47="","",IF(($E52-'water demand calculation'!$G$3*'water demand calculation'!G47/1000-inputdata!$L$59)&lt;=0,0,IF(($E52-'water demand calculation'!$G$3*'water demand calculation'!G47/1000-inputdata!$L$59-'fertiliser demand calculation'!$I$6)&lt;=0,0,$E52-'water demand calculation'!$G$3*'water demand calculation'!G47/1000-inputdata!$L$59-'fertiliser demand calculation'!$I$6)))</f>
        <v/>
      </c>
      <c r="P52" t="str">
        <f>IF('water demand calculation'!H47="","",IF(($E52-'water demand calculation'!$G$3*'water demand calculation'!H47/1000-inputdata!$L$59)&lt;=0,0,IF(($E52-'water demand calculation'!$G$3*'water demand calculation'!H47/1000-inputdata!$L$59-'fertiliser demand calculation'!$I$6)&lt;=0,0,$E52-'water demand calculation'!$G$3*'water demand calculation'!H47/1000-inputdata!$L$59-'fertiliser demand calculation'!$I$6)))</f>
        <v/>
      </c>
      <c r="Q52" t="str">
        <f>IF(AND(N52="",O52="",P52=""),"",IF((SUM(N52:P52)*1.2*100/VLOOKUP('fertiliser demand calculation'!$Q$9,inputdata!$A$54:$D$66,4,0))=0,0,(SUM(N52:P52)*1.2*100/VLOOKUP('fertiliser demand calculation'!$Q$9,inputdata!$A$54:$D$66,4,0))*B52/1000))</f>
        <v/>
      </c>
    </row>
    <row r="53" spans="1:17" x14ac:dyDescent="0.2">
      <c r="A53" s="65" t="str">
        <f>inputdata!A30</f>
        <v>olive tree</v>
      </c>
      <c r="B53" s="1" t="str">
        <f>'water demand calculation'!D48</f>
        <v/>
      </c>
      <c r="C53" t="str">
        <f>IF(B53="","",inputdata!J30*inputdata!M30)</f>
        <v/>
      </c>
      <c r="D53" t="str">
        <f>IF(B53="","",inputdata!K30*inputdata!M30*0.44)</f>
        <v/>
      </c>
      <c r="E53" t="str">
        <f>IF(B53="","",inputdata!L30*inputdata!M30*0.83)</f>
        <v/>
      </c>
      <c r="F53" t="str">
        <f>IF('water demand calculation'!F48="","",IF((C53-'water demand calculation'!$E$3*'water demand calculation'!F48*0.75/1000-inputdata!$L$60)&lt;=0,0,IF((C53-'water demand calculation'!$E$3*'water demand calculation'!F48*0.75/1000-inputdata!$L$60-'fertiliser demand calculation'!$G$6)&lt;=0,0,C53-'water demand calculation'!$E$3*'water demand calculation'!F48*0.75/1000-inputdata!$L$60-'fertiliser demand calculation'!$G$6)))</f>
        <v/>
      </c>
      <c r="G53" t="str">
        <f>IF('water demand calculation'!G48="","",IF((C53-'water demand calculation'!$E$3*'water demand calculation'!G48*0.75/1000-inputdata!$L$60)&lt;=0,0,IF((C53-'water demand calculation'!$E$3*'water demand calculation'!G48*0.75/1000-inputdata!$L$60-'fertiliser demand calculation'!$G$6)&lt;=0,0,C53-'water demand calculation'!$E$3*'water demand calculation'!G48*0.75/1000-inputdata!$L$60-'fertiliser demand calculation'!$G$6)))</f>
        <v/>
      </c>
      <c r="H53" t="str">
        <f>IF('water demand calculation'!H48="","",IF((C53-'water demand calculation'!$E$3*'water demand calculation'!H48*0.75/1000-inputdata!$L$60)&lt;=0,0,IF((C53-'water demand calculation'!$E$3*'water demand calculation'!H48*0.75/1000-inputdata!$L$60-'fertiliser demand calculation'!$G$6)&lt;=0,0,C53-'water demand calculation'!$E$3*'water demand calculation'!H48*0.75/1000-inputdata!$L$60-'fertiliser demand calculation'!$G$6)))</f>
        <v/>
      </c>
      <c r="I53" t="str">
        <f>IF(AND(F53="",G53="",H53=""),"",IF((SUM(F53:H53))=0,0,IF((M53*VLOOKUP($P$9,inputdata!$A$54:$D$58,2,0)/100+Q53*VLOOKUP($Q$9,inputdata!$A$60:$D$61,2,0)/100)&gt;=(SUM(F53:H53))*B53/1000,0,(((SUM(F53:H53))*B53/1000-(M53*VLOOKUP($P$9,inputdata!$A$54:$D$58,2,0)/100+Q53*VLOOKUP($Q$9,inputdata!$A$60:$D$61,2,0)/100))/VLOOKUP($O$9,inputdata!$A$63:$D$66,2,0)*100))))</f>
        <v/>
      </c>
      <c r="J53" t="str">
        <f>IF('water demand calculation'!F48="","",IF(($D53-'water demand calculation'!$F$3*'water demand calculation'!F48/1000-inputdata!$L$58)&lt;=0,0,IF(($D53-'water demand calculation'!$F$3*'water demand calculation'!F48/1000-inputdata!$L$58-'fertiliser demand calculation'!$H$6)&lt;=0,0,$D53-'water demand calculation'!$F$3*'water demand calculation'!F48/1000-inputdata!$L$58-'fertiliser demand calculation'!$H$6)))</f>
        <v/>
      </c>
      <c r="K53" t="str">
        <f>IF('water demand calculation'!G48="","",IF(($D53-'water demand calculation'!$F$3*'water demand calculation'!G48/1000-inputdata!$L$58)&lt;=0,0,IF(($D53-'water demand calculation'!$F$3*'water demand calculation'!G48/1000-inputdata!$L$58-'fertiliser demand calculation'!$H$6)&lt;=0,0,$D53-'water demand calculation'!$F$3*'water demand calculation'!G48/1000-inputdata!$L$58-'fertiliser demand calculation'!$H$6)))</f>
        <v/>
      </c>
      <c r="L53" t="str">
        <f>IF('water demand calculation'!H48="","",IF(($D53-'water demand calculation'!$F$3*'water demand calculation'!H48/1000-inputdata!$L$58)&lt;=0,0,IF(($D53-'water demand calculation'!$F$3*'water demand calculation'!H48/1000-inputdata!$L$58-'fertiliser demand calculation'!$H$6)&lt;=0,0,$D53-'water demand calculation'!$F$3*'water demand calculation'!H48/1000-inputdata!$L$58-'fertiliser demand calculation'!$H$6)))</f>
        <v/>
      </c>
      <c r="M53" t="str">
        <f>IF(AND(J53="",K53="",L53=""),"",IF((SUM(J53:L53)*2.29*100/VLOOKUP('fertiliser demand calculation'!$P$9,inputdata!$A$54:$D$66,3,0))=0,0,((SUM(J53:L53)*2.29*100/VLOOKUP('fertiliser demand calculation'!$P$9,inputdata!$A$54:$D$66,3,0)))*B53/1000))</f>
        <v/>
      </c>
      <c r="N53" t="str">
        <f>IF('water demand calculation'!F48="","",IF(($E53-'water demand calculation'!$G$3*'water demand calculation'!F48/1000-inputdata!$L$59)&lt;=0,0,IF(($E53-'water demand calculation'!$G$3*'water demand calculation'!F48/1000-inputdata!$L$59-'fertiliser demand calculation'!$I$6)&lt;=0,0,$E53-'water demand calculation'!$G$3*'water demand calculation'!F48/1000-inputdata!$L$59-'fertiliser demand calculation'!$I$6)))</f>
        <v/>
      </c>
      <c r="O53" t="str">
        <f>IF('water demand calculation'!G48="","",IF(($E53-'water demand calculation'!$G$3*'water demand calculation'!G48/1000-inputdata!$L$59)&lt;=0,0,IF(($E53-'water demand calculation'!$G$3*'water demand calculation'!G48/1000-inputdata!$L$59-'fertiliser demand calculation'!$I$6)&lt;=0,0,$E53-'water demand calculation'!$G$3*'water demand calculation'!G48/1000-inputdata!$L$59-'fertiliser demand calculation'!$I$6)))</f>
        <v/>
      </c>
      <c r="P53" t="str">
        <f>IF('water demand calculation'!H48="","",IF(($E53-'water demand calculation'!$G$3*'water demand calculation'!H48/1000-inputdata!$L$59)&lt;=0,0,IF(($E53-'water demand calculation'!$G$3*'water demand calculation'!H48/1000-inputdata!$L$59-'fertiliser demand calculation'!$I$6)&lt;=0,0,$E53-'water demand calculation'!$G$3*'water demand calculation'!H48/1000-inputdata!$L$59-'fertiliser demand calculation'!$I$6)))</f>
        <v/>
      </c>
      <c r="Q53" t="str">
        <f>IF(AND(N53="",O53="",P53=""),"",IF((SUM(N53:P53)*1.2*100/VLOOKUP('fertiliser demand calculation'!$Q$9,inputdata!$A$54:$D$66,4,0))=0,0,(SUM(N53:P53)*1.2*100/VLOOKUP('fertiliser demand calculation'!$Q$9,inputdata!$A$54:$D$66,4,0))*B53/1000))</f>
        <v/>
      </c>
    </row>
    <row r="54" spans="1:17" x14ac:dyDescent="0.2">
      <c r="A54" s="65" t="str">
        <f>inputdata!A31</f>
        <v>palm tree</v>
      </c>
      <c r="B54" s="1" t="str">
        <f>'water demand calculation'!D49</f>
        <v/>
      </c>
      <c r="C54" t="str">
        <f>IF(B54="","",inputdata!J31*inputdata!M31)</f>
        <v/>
      </c>
      <c r="D54" t="str">
        <f>IF(B54="","",inputdata!K31*inputdata!M31*0.44)</f>
        <v/>
      </c>
      <c r="E54" t="str">
        <f>IF(B54="","",inputdata!L31*inputdata!M31*0.83)</f>
        <v/>
      </c>
      <c r="F54" t="str">
        <f>IF('water demand calculation'!F49="","",IF((C54-'water demand calculation'!$E$3*'water demand calculation'!F49*0.75/1000-inputdata!$L$60)&lt;=0,0,IF((C54-'water demand calculation'!$E$3*'water demand calculation'!F49*0.75/1000-inputdata!$L$60-'fertiliser demand calculation'!$G$6)&lt;=0,0,C54-'water demand calculation'!$E$3*'water demand calculation'!F49*0.75/1000-inputdata!$L$60-'fertiliser demand calculation'!$G$6)))</f>
        <v/>
      </c>
      <c r="G54" t="str">
        <f>IF('water demand calculation'!G49="","",IF((C54-'water demand calculation'!$E$3*'water demand calculation'!G49*0.75/1000-inputdata!$L$60)&lt;=0,0,IF((C54-'water demand calculation'!$E$3*'water demand calculation'!G49*0.75/1000-inputdata!$L$60-'fertiliser demand calculation'!$G$6)&lt;=0,0,C54-'water demand calculation'!$E$3*'water demand calculation'!G49*0.75/1000-inputdata!$L$60-'fertiliser demand calculation'!$G$6)))</f>
        <v/>
      </c>
      <c r="H54" t="str">
        <f>IF('water demand calculation'!H49="","",IF((C54-'water demand calculation'!$E$3*'water demand calculation'!H49*0.75/1000-inputdata!$L$60)&lt;=0,0,IF((C54-'water demand calculation'!$E$3*'water demand calculation'!H49*0.75/1000-inputdata!$L$60-'fertiliser demand calculation'!$G$6)&lt;=0,0,C54-'water demand calculation'!$E$3*'water demand calculation'!H49*0.75/1000-inputdata!$L$60-'fertiliser demand calculation'!$G$6)))</f>
        <v/>
      </c>
      <c r="I54" t="str">
        <f>IF(AND(F54="",G54="",H54=""),"",IF((SUM(F54:H54))=0,0,IF((M54*VLOOKUP($P$9,inputdata!$A$54:$D$58,2,0)/100+Q54*VLOOKUP($Q$9,inputdata!$A$60:$D$61,2,0)/100)&gt;=(SUM(F54:H54))*B54/1000,0,(((SUM(F54:H54))*B54/1000-(M54*VLOOKUP($P$9,inputdata!$A$54:$D$58,2,0)/100+Q54*VLOOKUP($Q$9,inputdata!$A$60:$D$61,2,0)/100))/VLOOKUP($O$9,inputdata!$A$63:$D$66,2,0)*100))))</f>
        <v/>
      </c>
      <c r="J54" t="str">
        <f>IF('water demand calculation'!F49="","",IF(($D54-'water demand calculation'!$F$3*'water demand calculation'!F49/1000-inputdata!$L$58)&lt;=0,0,IF(($D54-'water demand calculation'!$F$3*'water demand calculation'!F49/1000-inputdata!$L$58-'fertiliser demand calculation'!$H$6)&lt;=0,0,$D54-'water demand calculation'!$F$3*'water demand calculation'!F49/1000-inputdata!$L$58-'fertiliser demand calculation'!$H$6)))</f>
        <v/>
      </c>
      <c r="K54" t="str">
        <f>IF('water demand calculation'!G49="","",IF(($D54-'water demand calculation'!$F$3*'water demand calculation'!G49/1000-inputdata!$L$58)&lt;=0,0,IF(($D54-'water demand calculation'!$F$3*'water demand calculation'!G49/1000-inputdata!$L$58-'fertiliser demand calculation'!$H$6)&lt;=0,0,$D54-'water demand calculation'!$F$3*'water demand calculation'!G49/1000-inputdata!$L$58-'fertiliser demand calculation'!$H$6)))</f>
        <v/>
      </c>
      <c r="L54" t="str">
        <f>IF('water demand calculation'!H49="","",IF(($D54-'water demand calculation'!$F$3*'water demand calculation'!H49/1000-inputdata!$L$58)&lt;=0,0,IF(($D54-'water demand calculation'!$F$3*'water demand calculation'!H49/1000-inputdata!$L$58-'fertiliser demand calculation'!$H$6)&lt;=0,0,$D54-'water demand calculation'!$F$3*'water demand calculation'!H49/1000-inputdata!$L$58-'fertiliser demand calculation'!$H$6)))</f>
        <v/>
      </c>
      <c r="M54" t="str">
        <f>IF(AND(J54="",K54="",L54=""),"",IF((SUM(J54:L54)*2.29*100/VLOOKUP('fertiliser demand calculation'!$P$9,inputdata!$A$54:$D$66,3,0))=0,0,((SUM(J54:L54)*2.29*100/VLOOKUP('fertiliser demand calculation'!$P$9,inputdata!$A$54:$D$66,3,0)))*B54/1000))</f>
        <v/>
      </c>
      <c r="N54" t="str">
        <f>IF('water demand calculation'!F49="","",IF(($E54-'water demand calculation'!$G$3*'water demand calculation'!F49/1000-inputdata!$L$59)&lt;=0,0,IF(($E54-'water demand calculation'!$G$3*'water demand calculation'!F49/1000-inputdata!$L$59-'fertiliser demand calculation'!$I$6)&lt;=0,0,$E54-'water demand calculation'!$G$3*'water demand calculation'!F49/1000-inputdata!$L$59-'fertiliser demand calculation'!$I$6)))</f>
        <v/>
      </c>
      <c r="O54" t="str">
        <f>IF('water demand calculation'!G49="","",IF(($E54-'water demand calculation'!$G$3*'water demand calculation'!G49/1000-inputdata!$L$59)&lt;=0,0,IF(($E54-'water demand calculation'!$G$3*'water demand calculation'!G49/1000-inputdata!$L$59-'fertiliser demand calculation'!$I$6)&lt;=0,0,$E54-'water demand calculation'!$G$3*'water demand calculation'!G49/1000-inputdata!$L$59-'fertiliser demand calculation'!$I$6)))</f>
        <v/>
      </c>
      <c r="P54" t="str">
        <f>IF('water demand calculation'!H49="","",IF(($E54-'water demand calculation'!$G$3*'water demand calculation'!H49/1000-inputdata!$L$59)&lt;=0,0,IF(($E54-'water demand calculation'!$G$3*'water demand calculation'!H49/1000-inputdata!$L$59-'fertiliser demand calculation'!$I$6)&lt;=0,0,$E54-'water demand calculation'!$G$3*'water demand calculation'!H49/1000-inputdata!$L$59-'fertiliser demand calculation'!$I$6)))</f>
        <v/>
      </c>
      <c r="Q54" t="str">
        <f>IF(AND(N54="",O54="",P54=""),"",IF((SUM(N54:P54)*1.2*100/VLOOKUP('fertiliser demand calculation'!$Q$9,inputdata!$A$54:$D$66,4,0))=0,0,(SUM(N54:P54)*1.2*100/VLOOKUP('fertiliser demand calculation'!$Q$9,inputdata!$A$54:$D$66,4,0))*B54/1000))</f>
        <v/>
      </c>
    </row>
    <row r="55" spans="1:17" x14ac:dyDescent="0.2">
      <c r="A55" s="65" t="str">
        <f>inputdata!A32</f>
        <v>alfalfa*</v>
      </c>
      <c r="B55" s="1" t="str">
        <f>'water demand calculation'!D50</f>
        <v/>
      </c>
      <c r="C55" t="str">
        <f>IF(B55="","",inputdata!J32*inputdata!M32)</f>
        <v/>
      </c>
      <c r="D55" t="str">
        <f>IF(B55="","",inputdata!K32*inputdata!M32*0.44)</f>
        <v/>
      </c>
      <c r="E55" t="str">
        <f>IF(B55="","",inputdata!L32*inputdata!M32*0.83)</f>
        <v/>
      </c>
      <c r="F55" t="str">
        <f>IF('water demand calculation'!F50="","",IF((C55-'water demand calculation'!$E$3*'water demand calculation'!F50*0.75/1000-inputdata!$L$60)&lt;=0,0,IF((C55-'water demand calculation'!$E$3*'water demand calculation'!F50*0.75/1000-inputdata!$L$60-'fertiliser demand calculation'!$G$6)&lt;=0,0,C55-'water demand calculation'!$E$3*'water demand calculation'!F50*0.75/1000-inputdata!$L$60-'fertiliser demand calculation'!$G$6)))</f>
        <v/>
      </c>
      <c r="G55" t="str">
        <f>IF('water demand calculation'!G50="","",IF((C55-'water demand calculation'!$E$3*'water demand calculation'!G50*0.75/1000-inputdata!$L$60)&lt;=0,0,IF((C55-'water demand calculation'!$E$3*'water demand calculation'!G50*0.75/1000-inputdata!$L$60-'fertiliser demand calculation'!$G$6)&lt;=0,0,C55-'water demand calculation'!$E$3*'water demand calculation'!G50*0.75/1000-inputdata!$L$60-'fertiliser demand calculation'!$G$6)))</f>
        <v/>
      </c>
      <c r="H55" t="str">
        <f>IF('water demand calculation'!H50="","",IF((C55-'water demand calculation'!$E$3*'water demand calculation'!H50*0.75/1000-inputdata!$L$60)&lt;=0,0,IF((C55-'water demand calculation'!$E$3*'water demand calculation'!H50*0.75/1000-inputdata!$L$60-'fertiliser demand calculation'!$G$6)&lt;=0,0,C55-'water demand calculation'!$E$3*'water demand calculation'!H50*0.75/1000-inputdata!$L$60-'fertiliser demand calculation'!$G$6)))</f>
        <v/>
      </c>
      <c r="I55" t="str">
        <f>IF(AND(F55="",G55="",H55=""),"",IF((SUM(F55:H55))=0,0,IF((M55*VLOOKUP($P$9,inputdata!$A$54:$D$58,2,0)/100+Q55*VLOOKUP($Q$9,inputdata!$A$60:$D$61,2,0)/100)&gt;=(SUM(F55:H55))*B55/1000,0,(((SUM(F55:H55))*B55/1000-(M55*VLOOKUP($P$9,inputdata!$A$54:$D$58,2,0)/100+Q55*VLOOKUP($Q$9,inputdata!$A$60:$D$61,2,0)/100))/VLOOKUP($O$9,inputdata!$A$63:$D$66,2,0)*100))))</f>
        <v/>
      </c>
      <c r="J55" t="str">
        <f>IF('water demand calculation'!F50="","",IF(($D55-'water demand calculation'!$F$3*'water demand calculation'!F50/1000-inputdata!$L$58)&lt;=0,0,IF(($D55-'water demand calculation'!$F$3*'water demand calculation'!F50/1000-inputdata!$L$58-'fertiliser demand calculation'!$H$6)&lt;=0,0,$D55-'water demand calculation'!$F$3*'water demand calculation'!F50/1000-inputdata!$L$58-'fertiliser demand calculation'!$H$6)))</f>
        <v/>
      </c>
      <c r="K55" t="str">
        <f>IF('water demand calculation'!G50="","",IF(($D55-'water demand calculation'!$F$3*'water demand calculation'!G50/1000-inputdata!$L$58)&lt;=0,0,IF(($D55-'water demand calculation'!$F$3*'water demand calculation'!G50/1000-inputdata!$L$58-'fertiliser demand calculation'!$H$6)&lt;=0,0,$D55-'water demand calculation'!$F$3*'water demand calculation'!G50/1000-inputdata!$L$58-'fertiliser demand calculation'!$H$6)))</f>
        <v/>
      </c>
      <c r="L55" t="str">
        <f>IF('water demand calculation'!H50="","",IF(($D55-'water demand calculation'!$F$3*'water demand calculation'!H50/1000-inputdata!$L$58)&lt;=0,0,IF(($D55-'water demand calculation'!$F$3*'water demand calculation'!H50/1000-inputdata!$L$58-'fertiliser demand calculation'!$H$6)&lt;=0,0,$D55-'water demand calculation'!$F$3*'water demand calculation'!H50/1000-inputdata!$L$58-'fertiliser demand calculation'!$H$6)))</f>
        <v/>
      </c>
      <c r="M55" t="str">
        <f>IF(AND(J55="",K55="",L55=""),"",IF((SUM(J55:L55)*2.29*100/VLOOKUP('fertiliser demand calculation'!$P$9,inputdata!$A$54:$D$66,3,0))=0,0,((SUM(J55:L55)*2.29*100/VLOOKUP('fertiliser demand calculation'!$P$9,inputdata!$A$54:$D$66,3,0)))*B55/1000))</f>
        <v/>
      </c>
      <c r="N55" t="str">
        <f>IF('water demand calculation'!F50="","",IF(($E55-'water demand calculation'!$G$3*'water demand calculation'!F50/1000-inputdata!$L$59)&lt;=0,0,IF(($E55-'water demand calculation'!$G$3*'water demand calculation'!F50/1000-inputdata!$L$59-'fertiliser demand calculation'!$I$6)&lt;=0,0,$E55-'water demand calculation'!$G$3*'water demand calculation'!F50/1000-inputdata!$L$59-'fertiliser demand calculation'!$I$6)))</f>
        <v/>
      </c>
      <c r="O55" t="str">
        <f>IF('water demand calculation'!G50="","",IF(($E55-'water demand calculation'!$G$3*'water demand calculation'!G50/1000-inputdata!$L$59)&lt;=0,0,IF(($E55-'water demand calculation'!$G$3*'water demand calculation'!G50/1000-inputdata!$L$59-'fertiliser demand calculation'!$I$6)&lt;=0,0,$E55-'water demand calculation'!$G$3*'water demand calculation'!G50/1000-inputdata!$L$59-'fertiliser demand calculation'!$I$6)))</f>
        <v/>
      </c>
      <c r="P55" t="str">
        <f>IF('water demand calculation'!H50="","",IF(($E55-'water demand calculation'!$G$3*'water demand calculation'!H50/1000-inputdata!$L$59)&lt;=0,0,IF(($E55-'water demand calculation'!$G$3*'water demand calculation'!H50/1000-inputdata!$L$59-'fertiliser demand calculation'!$I$6)&lt;=0,0,$E55-'water demand calculation'!$G$3*'water demand calculation'!H50/1000-inputdata!$L$59-'fertiliser demand calculation'!$I$6)))</f>
        <v/>
      </c>
      <c r="Q55" t="str">
        <f>IF(AND(N55="",O55="",P55=""),"",IF((SUM(N55:P55)*1.2*100/VLOOKUP('fertiliser demand calculation'!$Q$9,inputdata!$A$54:$D$66,4,0))=0,0,(SUM(N55:P55)*1.2*100/VLOOKUP('fertiliser demand calculation'!$Q$9,inputdata!$A$54:$D$66,4,0))*B55/1000))</f>
        <v/>
      </c>
    </row>
    <row r="56" spans="1:17" ht="15" x14ac:dyDescent="0.25">
      <c r="F56" s="524" t="s">
        <v>151</v>
      </c>
      <c r="G56" s="524"/>
      <c r="H56" s="524"/>
      <c r="I56" s="78">
        <f>SUM(I36:I55)</f>
        <v>706.42082763560529</v>
      </c>
      <c r="M56" s="78">
        <f>SUM(M36:M55)</f>
        <v>32.482083315995986</v>
      </c>
      <c r="Q56" s="78">
        <f>SUM(Q36:Q55)</f>
        <v>154.23202139469853</v>
      </c>
    </row>
    <row r="57" spans="1:17" x14ac:dyDescent="0.2">
      <c r="Q57" t="str">
        <f>IF((SUM(N57:P57)*1.2*100/VLOOKUP('fertiliser demand calculation'!$Q$9,inputdata!$A$54:$D$66,4,0))=0,"",SUM(N57:P57)*1.2*100/VLOOKUP('fertiliser demand calculation'!$Q$9,inputdata!$A$54:$D$66,4,0))</f>
        <v/>
      </c>
    </row>
    <row r="58" spans="1:17" x14ac:dyDescent="0.2">
      <c r="G58" s="1"/>
      <c r="Q58" t="str">
        <f>IF((SUM(N58:P58)*1.2*100/VLOOKUP('fertiliser demand calculation'!$Q$9,inputdata!$A$54:$D$66,4,0))=0,"",SUM(N58:P58)*1.2*100/VLOOKUP('fertiliser demand calculation'!$Q$9,inputdata!$A$54:$D$66,4,0))</f>
        <v/>
      </c>
    </row>
    <row r="59" spans="1:17" x14ac:dyDescent="0.2">
      <c r="G59" s="1"/>
    </row>
    <row r="60" spans="1:17" x14ac:dyDescent="0.2">
      <c r="G60" s="1"/>
    </row>
  </sheetData>
  <mergeCells count="18">
    <mergeCell ref="C33:E33"/>
    <mergeCell ref="C35:E35"/>
    <mergeCell ref="B33:B34"/>
    <mergeCell ref="A34:A35"/>
    <mergeCell ref="F56:H56"/>
    <mergeCell ref="F35:H35"/>
    <mergeCell ref="J35:L35"/>
    <mergeCell ref="N35:P35"/>
    <mergeCell ref="F33:H33"/>
    <mergeCell ref="J33:L33"/>
    <mergeCell ref="N33:P33"/>
    <mergeCell ref="N10:O10"/>
    <mergeCell ref="L1:O1"/>
    <mergeCell ref="B9:D9"/>
    <mergeCell ref="F4:I4"/>
    <mergeCell ref="H9:J9"/>
    <mergeCell ref="E9:G9"/>
    <mergeCell ref="N8:Q8"/>
  </mergeCells>
  <conditionalFormatting sqref="M36:M55">
    <cfRule type="notContainsBlanks" priority="8">
      <formula>LEN(TRIM(M36))&gt;0</formula>
    </cfRule>
  </conditionalFormatting>
  <conditionalFormatting sqref="M36:M55">
    <cfRule type="notContainsBlanks" dxfId="2" priority="7">
      <formula>LEN(TRIM(M36))&gt;0</formula>
    </cfRule>
  </conditionalFormatting>
  <conditionalFormatting sqref="Q36:Q55">
    <cfRule type="notContainsBlanks" priority="6">
      <formula>LEN(TRIM(Q36))&gt;0</formula>
    </cfRule>
  </conditionalFormatting>
  <conditionalFormatting sqref="Q36:Q55">
    <cfRule type="notContainsBlanks" dxfId="1" priority="5">
      <formula>LEN(TRIM(Q36))&gt;0</formula>
    </cfRule>
  </conditionalFormatting>
  <conditionalFormatting sqref="I36:I55">
    <cfRule type="notContainsBlanks" priority="2">
      <formula>LEN(TRIM(I36))&gt;0</formula>
    </cfRule>
  </conditionalFormatting>
  <conditionalFormatting sqref="I36:I55">
    <cfRule type="notContainsBlanks" dxfId="0" priority="1">
      <formula>LEN(TRIM(I36))&gt;0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sheetPr>
  <dimension ref="A1:N56"/>
  <sheetViews>
    <sheetView zoomScaleNormal="100" workbookViewId="0">
      <selection activeCell="B4" sqref="B4"/>
    </sheetView>
  </sheetViews>
  <sheetFormatPr defaultRowHeight="12.75" x14ac:dyDescent="0.2"/>
  <cols>
    <col min="1" max="1" width="43.5703125" customWidth="1"/>
    <col min="2" max="2" width="21.85546875" customWidth="1"/>
    <col min="3" max="3" width="24.7109375" customWidth="1"/>
    <col min="4" max="4" width="31.85546875" customWidth="1"/>
    <col min="5" max="5" width="23" customWidth="1"/>
    <col min="6" max="6" width="21.42578125" customWidth="1"/>
    <col min="7" max="7" width="22.140625" customWidth="1"/>
    <col min="8" max="8" width="10" customWidth="1"/>
    <col min="9" max="9" width="14.140625" customWidth="1"/>
    <col min="10" max="10" width="13.42578125" customWidth="1"/>
    <col min="11" max="11" width="12.5703125" customWidth="1"/>
    <col min="12" max="12" width="17.85546875" bestFit="1" customWidth="1"/>
    <col min="13" max="13" width="14.5703125" bestFit="1" customWidth="1"/>
  </cols>
  <sheetData>
    <row r="1" spans="1:8" ht="15.75" thickBot="1" x14ac:dyDescent="0.3">
      <c r="A1" s="49"/>
      <c r="B1" s="373" t="s">
        <v>253</v>
      </c>
    </row>
    <row r="2" spans="1:8" ht="20.25" x14ac:dyDescent="0.3">
      <c r="A2" s="403" t="s">
        <v>349</v>
      </c>
      <c r="B2" s="404"/>
      <c r="C2" s="404"/>
      <c r="D2" s="411" t="s">
        <v>348</v>
      </c>
      <c r="E2" s="412"/>
      <c r="F2" s="413"/>
    </row>
    <row r="3" spans="1:8" x14ac:dyDescent="0.2">
      <c r="A3" s="374" t="s">
        <v>336</v>
      </c>
      <c r="B3" s="375" t="s">
        <v>196</v>
      </c>
      <c r="C3" s="376"/>
      <c r="D3" s="371" t="s">
        <v>343</v>
      </c>
      <c r="E3" s="379" t="s">
        <v>254</v>
      </c>
      <c r="F3" s="269"/>
    </row>
    <row r="4" spans="1:8" x14ac:dyDescent="0.2">
      <c r="A4" s="177" t="s">
        <v>338</v>
      </c>
      <c r="B4" s="176" t="s">
        <v>26</v>
      </c>
      <c r="C4" s="178" t="s">
        <v>169</v>
      </c>
      <c r="D4" s="372" t="s">
        <v>346</v>
      </c>
      <c r="E4" s="380">
        <v>0.3</v>
      </c>
      <c r="F4" s="269"/>
    </row>
    <row r="5" spans="1:8" ht="32.25" thickBot="1" x14ac:dyDescent="0.3">
      <c r="A5" s="179" t="s">
        <v>339</v>
      </c>
      <c r="B5" s="180">
        <v>1</v>
      </c>
      <c r="C5" s="197">
        <f>1-B5</f>
        <v>0</v>
      </c>
      <c r="D5" s="409" t="s">
        <v>246</v>
      </c>
      <c r="E5" s="410"/>
      <c r="F5" s="270" t="s">
        <v>251</v>
      </c>
    </row>
    <row r="6" spans="1:8" ht="15.75" thickBot="1" x14ac:dyDescent="0.3">
      <c r="A6" s="181" t="s">
        <v>340</v>
      </c>
      <c r="B6" s="180">
        <v>0.25</v>
      </c>
      <c r="C6" s="196"/>
      <c r="D6" s="231" t="s">
        <v>239</v>
      </c>
      <c r="E6" s="266">
        <v>1.2E-2</v>
      </c>
      <c r="F6" s="267">
        <v>0.8</v>
      </c>
    </row>
    <row r="7" spans="1:8" ht="15.75" thickBot="1" x14ac:dyDescent="0.3">
      <c r="A7" s="182" t="s">
        <v>344</v>
      </c>
      <c r="B7" s="282">
        <v>100</v>
      </c>
      <c r="C7" s="196"/>
      <c r="D7" s="234" t="s">
        <v>247</v>
      </c>
      <c r="E7" s="266">
        <v>5.3999999999999999E-2</v>
      </c>
      <c r="F7" s="267">
        <v>1</v>
      </c>
    </row>
    <row r="9" spans="1:8" x14ac:dyDescent="0.2">
      <c r="A9" s="407" t="s">
        <v>217</v>
      </c>
      <c r="B9" s="408"/>
    </row>
    <row r="10" spans="1:8" ht="20.25" x14ac:dyDescent="0.3">
      <c r="A10" s="362" t="str">
        <f>inputdata!A37</f>
        <v>local wells</v>
      </c>
      <c r="B10" s="362" t="str">
        <f>inputdata!B37</f>
        <v>GW</v>
      </c>
      <c r="D10" s="405" t="s">
        <v>350</v>
      </c>
      <c r="E10" s="406"/>
      <c r="G10" s="84"/>
      <c r="H10" s="84"/>
    </row>
    <row r="11" spans="1:8" x14ac:dyDescent="0.2">
      <c r="A11" s="362" t="str">
        <f>inputdata!A38</f>
        <v>Man made River supply</v>
      </c>
      <c r="B11" s="362" t="str">
        <f>inputdata!B38</f>
        <v>MMR</v>
      </c>
      <c r="D11" s="377" t="s">
        <v>341</v>
      </c>
      <c r="E11" s="381">
        <v>0.03</v>
      </c>
    </row>
    <row r="12" spans="1:8" x14ac:dyDescent="0.2">
      <c r="A12" s="362" t="str">
        <f>inputdata!A39</f>
        <v xml:space="preserve">conventional activated sludge </v>
      </c>
      <c r="B12" s="362" t="str">
        <f>inputdata!B39</f>
        <v>T1</v>
      </c>
      <c r="D12" s="378" t="s">
        <v>342</v>
      </c>
      <c r="E12" s="382">
        <v>30</v>
      </c>
    </row>
    <row r="13" spans="1:8" x14ac:dyDescent="0.2">
      <c r="A13" s="362" t="str">
        <f>inputdata!A40</f>
        <v>on site( Three-tank system )</v>
      </c>
      <c r="B13" s="362" t="str">
        <f>inputdata!B40</f>
        <v>T2</v>
      </c>
    </row>
    <row r="14" spans="1:8" x14ac:dyDescent="0.2">
      <c r="A14" s="362" t="str">
        <f>inputdata!A41</f>
        <v>on site(Three-tank system +sand Filter)</v>
      </c>
      <c r="B14" s="362" t="str">
        <f>inputdata!B41</f>
        <v>T3</v>
      </c>
    </row>
    <row r="15" spans="1:8" x14ac:dyDescent="0.2">
      <c r="A15" s="362" t="str">
        <f>inputdata!A42</f>
        <v>septic tank+   (WSP)</v>
      </c>
      <c r="B15" s="362" t="str">
        <f>inputdata!B42</f>
        <v>T4</v>
      </c>
    </row>
    <row r="16" spans="1:8" x14ac:dyDescent="0.2">
      <c r="A16" s="362" t="str">
        <f>inputdata!A43</f>
        <v>treatment plant  (WSP)</v>
      </c>
      <c r="B16" s="362" t="str">
        <f>inputdata!B43</f>
        <v>T5</v>
      </c>
    </row>
    <row r="17" spans="1:7" ht="16.5" customHeight="1" x14ac:dyDescent="0.2">
      <c r="A17" s="362" t="str">
        <f>inputdata!A44</f>
        <v>treatment plant (Conventional activated sludge+ disinfection)</v>
      </c>
      <c r="B17" s="362" t="str">
        <f>inputdata!B44</f>
        <v>T6</v>
      </c>
    </row>
    <row r="18" spans="1:7" x14ac:dyDescent="0.2">
      <c r="A18" s="362" t="str">
        <f>inputdata!A45</f>
        <v>Activated sludge+ Biological Nitrogen Removal (MLE)+ disinfection</v>
      </c>
      <c r="B18" s="362" t="str">
        <f>inputdata!B45</f>
        <v>T7</v>
      </c>
    </row>
    <row r="19" spans="1:7" x14ac:dyDescent="0.2">
      <c r="A19" s="362" t="str">
        <f>inputdata!A46</f>
        <v>Activated sludge+ Ultrfiltration+ reverse osmosis</v>
      </c>
      <c r="B19" s="362" t="str">
        <f>inputdata!B46</f>
        <v>T8</v>
      </c>
    </row>
    <row r="21" spans="1:7" ht="25.5" x14ac:dyDescent="0.2">
      <c r="A21" s="94" t="str">
        <f>Table1[[#Headers],[crops ]]</f>
        <v xml:space="preserve">crops </v>
      </c>
      <c r="B21" s="93" t="s">
        <v>345</v>
      </c>
      <c r="C21" s="90" t="s">
        <v>353</v>
      </c>
    </row>
    <row r="22" spans="1:7" x14ac:dyDescent="0.2">
      <c r="A22" s="85" t="str">
        <f>inputdata!A13</f>
        <v xml:space="preserve">wheat </v>
      </c>
      <c r="B22" s="225" t="s">
        <v>15</v>
      </c>
      <c r="C22" s="224">
        <v>0.25</v>
      </c>
    </row>
    <row r="23" spans="1:7" x14ac:dyDescent="0.2">
      <c r="A23" s="85" t="str">
        <f>inputdata!A14</f>
        <v>barley</v>
      </c>
      <c r="B23" s="225" t="s">
        <v>15</v>
      </c>
      <c r="C23" s="226">
        <v>0.25</v>
      </c>
    </row>
    <row r="24" spans="1:7" x14ac:dyDescent="0.2">
      <c r="A24" s="85" t="str">
        <f>inputdata!A15</f>
        <v>peas*</v>
      </c>
      <c r="B24" s="225" t="s">
        <v>16</v>
      </c>
      <c r="C24" s="224"/>
    </row>
    <row r="25" spans="1:7" ht="0.75" customHeight="1" x14ac:dyDescent="0.2">
      <c r="A25" s="85" t="str">
        <f>inputdata!A16</f>
        <v>broad beans*</v>
      </c>
      <c r="B25" s="225" t="s">
        <v>16</v>
      </c>
      <c r="C25" s="224"/>
      <c r="E25" s="268"/>
      <c r="F25" s="5"/>
      <c r="G25" s="269"/>
    </row>
    <row r="26" spans="1:7" ht="29.25" customHeight="1" x14ac:dyDescent="0.2">
      <c r="A26" s="85" t="str">
        <f>inputdata!A17</f>
        <v>oat</v>
      </c>
      <c r="B26" s="225" t="s">
        <v>16</v>
      </c>
      <c r="C26" s="224">
        <v>0.3</v>
      </c>
    </row>
    <row r="27" spans="1:7" ht="36.75" customHeight="1" x14ac:dyDescent="0.2">
      <c r="A27" s="85" t="str">
        <f>inputdata!A18</f>
        <v>potato</v>
      </c>
      <c r="B27" s="225" t="s">
        <v>16</v>
      </c>
      <c r="C27" s="224">
        <v>0.1</v>
      </c>
    </row>
    <row r="28" spans="1:7" x14ac:dyDescent="0.2">
      <c r="A28" s="86" t="str">
        <f>inputdata!A19</f>
        <v>onion</v>
      </c>
      <c r="B28" s="225" t="s">
        <v>16</v>
      </c>
      <c r="C28" s="224"/>
    </row>
    <row r="29" spans="1:7" x14ac:dyDescent="0.2">
      <c r="A29" s="86" t="str">
        <f>inputdata!A20</f>
        <v>lettuce and Green-Leaf Crops</v>
      </c>
      <c r="B29" s="225" t="s">
        <v>16</v>
      </c>
      <c r="C29" s="224">
        <v>0.05</v>
      </c>
    </row>
    <row r="30" spans="1:7" x14ac:dyDescent="0.2">
      <c r="A30" s="86" t="str">
        <f>inputdata!A21</f>
        <v xml:space="preserve">carrot </v>
      </c>
      <c r="B30" s="225" t="s">
        <v>16</v>
      </c>
      <c r="C30" s="224">
        <v>2.5000000000000001E-2</v>
      </c>
    </row>
    <row r="31" spans="1:7" x14ac:dyDescent="0.2">
      <c r="A31" s="86" t="str">
        <f>inputdata!A22</f>
        <v xml:space="preserve">Radish </v>
      </c>
      <c r="B31" s="225" t="s">
        <v>16</v>
      </c>
      <c r="C31" s="224">
        <v>2.5000000000000001E-2</v>
      </c>
    </row>
    <row r="32" spans="1:7" x14ac:dyDescent="0.2">
      <c r="A32" s="87" t="str">
        <f>inputdata!A23</f>
        <v>Millets</v>
      </c>
      <c r="B32" s="225" t="s">
        <v>15</v>
      </c>
      <c r="C32" s="224"/>
    </row>
    <row r="33" spans="1:4" x14ac:dyDescent="0.2">
      <c r="A33" s="87" t="str">
        <f>inputdata!A24</f>
        <v>tomato</v>
      </c>
      <c r="B33" s="225" t="s">
        <v>16</v>
      </c>
      <c r="C33" s="224">
        <v>0.2</v>
      </c>
    </row>
    <row r="34" spans="1:4" x14ac:dyDescent="0.2">
      <c r="A34" s="87" t="str">
        <f>inputdata!A25</f>
        <v>water melon</v>
      </c>
      <c r="B34" s="225" t="s">
        <v>16</v>
      </c>
      <c r="C34" s="224"/>
    </row>
    <row r="35" spans="1:4" x14ac:dyDescent="0.2">
      <c r="A35" s="87" t="str">
        <f>inputdata!A26</f>
        <v>cucumber</v>
      </c>
      <c r="B35" s="225" t="s">
        <v>16</v>
      </c>
      <c r="C35" s="224"/>
    </row>
    <row r="36" spans="1:4" x14ac:dyDescent="0.2">
      <c r="A36" s="87" t="str">
        <f>inputdata!A27</f>
        <v>eggplant</v>
      </c>
      <c r="B36" s="225" t="s">
        <v>16</v>
      </c>
      <c r="C36" s="224"/>
    </row>
    <row r="37" spans="1:4" x14ac:dyDescent="0.2">
      <c r="A37" s="87" t="str">
        <f>inputdata!A28</f>
        <v>pepper</v>
      </c>
      <c r="B37" s="225" t="s">
        <v>16</v>
      </c>
      <c r="C37" s="224"/>
    </row>
    <row r="38" spans="1:4" x14ac:dyDescent="0.2">
      <c r="A38" s="87" t="str">
        <f>inputdata!A29</f>
        <v>cauliflower</v>
      </c>
      <c r="B38" s="225" t="s">
        <v>16</v>
      </c>
      <c r="C38" s="224"/>
    </row>
    <row r="39" spans="1:4" x14ac:dyDescent="0.2">
      <c r="A39" s="88" t="str">
        <f>inputdata!A30</f>
        <v>olive tree</v>
      </c>
      <c r="B39" s="225" t="s">
        <v>16</v>
      </c>
      <c r="C39" s="224"/>
    </row>
    <row r="40" spans="1:4" x14ac:dyDescent="0.2">
      <c r="A40" s="88" t="str">
        <f>inputdata!A31</f>
        <v>palm tree</v>
      </c>
      <c r="B40" s="225" t="s">
        <v>16</v>
      </c>
      <c r="C40" s="224"/>
    </row>
    <row r="41" spans="1:4" x14ac:dyDescent="0.2">
      <c r="A41" s="208" t="str">
        <f>inputdata!A32</f>
        <v>alfalfa*</v>
      </c>
      <c r="B41" s="225" t="s">
        <v>15</v>
      </c>
      <c r="C41" s="224"/>
    </row>
    <row r="43" spans="1:4" x14ac:dyDescent="0.2">
      <c r="A43" s="183"/>
      <c r="B43" s="398" t="s">
        <v>67</v>
      </c>
      <c r="C43" s="399"/>
      <c r="D43" s="400"/>
    </row>
    <row r="44" spans="1:4" x14ac:dyDescent="0.2">
      <c r="A44" s="184" t="s">
        <v>143</v>
      </c>
      <c r="B44" s="185" t="s">
        <v>108</v>
      </c>
      <c r="C44" s="186" t="s">
        <v>110</v>
      </c>
      <c r="D44" s="186" t="s">
        <v>111</v>
      </c>
    </row>
    <row r="45" spans="1:4" x14ac:dyDescent="0.2">
      <c r="A45" s="187">
        <v>0</v>
      </c>
      <c r="B45" s="188" t="s">
        <v>117</v>
      </c>
      <c r="C45" s="189">
        <v>0.7</v>
      </c>
      <c r="D45" s="190">
        <v>0.15</v>
      </c>
    </row>
    <row r="46" spans="1:4" x14ac:dyDescent="0.2">
      <c r="A46" s="84"/>
      <c r="B46" s="84"/>
      <c r="C46" s="84"/>
      <c r="D46" s="84"/>
    </row>
    <row r="47" spans="1:4" x14ac:dyDescent="0.2">
      <c r="A47" s="401" t="s">
        <v>96</v>
      </c>
      <c r="B47" s="401"/>
      <c r="C47" s="402"/>
      <c r="D47" s="84"/>
    </row>
    <row r="48" spans="1:4" ht="12.75" customHeight="1" x14ac:dyDescent="0.2">
      <c r="A48" s="191" t="s">
        <v>48</v>
      </c>
      <c r="B48" s="192" t="s">
        <v>49</v>
      </c>
      <c r="C48" s="193" t="s">
        <v>50</v>
      </c>
      <c r="D48" s="84"/>
    </row>
    <row r="49" spans="1:14" ht="25.5" x14ac:dyDescent="0.2">
      <c r="A49" s="194" t="s">
        <v>37</v>
      </c>
      <c r="B49" s="195" t="s">
        <v>45</v>
      </c>
      <c r="C49" s="195" t="s">
        <v>42</v>
      </c>
      <c r="D49" s="84"/>
    </row>
    <row r="55" spans="1:14" ht="14.25" customHeight="1" x14ac:dyDescent="0.2">
      <c r="K55" s="91"/>
      <c r="L55" s="91"/>
      <c r="M55" s="92"/>
      <c r="N55" s="91"/>
    </row>
    <row r="56" spans="1:14" ht="15" customHeight="1" x14ac:dyDescent="0.2">
      <c r="K56" s="91"/>
      <c r="L56" s="91"/>
      <c r="M56" s="92"/>
      <c r="N56" s="91"/>
    </row>
  </sheetData>
  <mergeCells count="7">
    <mergeCell ref="B43:D43"/>
    <mergeCell ref="A47:C47"/>
    <mergeCell ref="A2:C2"/>
    <mergeCell ref="D10:E10"/>
    <mergeCell ref="A9:B9"/>
    <mergeCell ref="D5:E5"/>
    <mergeCell ref="D2:F2"/>
  </mergeCells>
  <dataValidations count="1">
    <dataValidation type="list" allowBlank="1" showInputMessage="1" showErrorMessage="1" sqref="E3">
      <formula1>"Unrestricted Irrigation,Restricted Irrigation"</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inputdata!$A$7:$A$9</xm:f>
          </x14:formula1>
          <xm:sqref>B24:B41</xm:sqref>
        </x14:dataValidation>
        <x14:dataValidation type="list" allowBlank="1" showInputMessage="1" showErrorMessage="1">
          <x14:formula1>
            <xm:f>inputdata!$A$7:$A$8</xm:f>
          </x14:formula1>
          <xm:sqref>B22:B23</xm:sqref>
        </x14:dataValidation>
        <x14:dataValidation type="list" allowBlank="1" showInputMessage="1" showErrorMessage="1">
          <x14:formula1>
            <xm:f>inputdata!$B$11:$D$11</xm:f>
          </x14:formula1>
          <xm:sqref>B3</xm:sqref>
        </x14:dataValidation>
        <x14:dataValidation type="list" allowBlank="1" showInputMessage="1" showErrorMessage="1">
          <x14:formula1>
            <xm:f>inputdata!$B$37:$B$38</xm:f>
          </x14:formula1>
          <xm:sqref>C4</xm:sqref>
        </x14:dataValidation>
        <x14:dataValidation type="list" allowBlank="1" showInputMessage="1" showErrorMessage="1">
          <x14:formula1>
            <xm:f>inputdata!$K$64:$K$66</xm:f>
          </x14:formula1>
          <xm:sqref>B45</xm:sqref>
        </x14:dataValidation>
        <x14:dataValidation type="list" allowBlank="1" showInputMessage="1" showErrorMessage="1">
          <x14:formula1>
            <xm:f>inputdata!$B$37:$B$46</xm:f>
          </x14:formula1>
          <xm:sqref>B4</xm:sqref>
        </x14:dataValidation>
        <x14:dataValidation type="list" allowBlank="1" showInputMessage="1" showErrorMessage="1">
          <x14:formula1>
            <xm:f>'inputdata(costs-benefits) '!$A$81:$A$85</xm:f>
          </x14:formula1>
          <xm:sqref>B49</xm:sqref>
        </x14:dataValidation>
        <x14:dataValidation type="list" allowBlank="1" showInputMessage="1" showErrorMessage="1">
          <x14:formula1>
            <xm:f>'inputdata(costs-benefits) '!$A$87:$A$88</xm:f>
          </x14:formula1>
          <xm:sqref>C49</xm:sqref>
        </x14:dataValidation>
        <x14:dataValidation type="list" allowBlank="1" showInputMessage="1" showErrorMessage="1">
          <x14:formula1>
            <xm:f>'inputdata(costs-benefits) '!$A$90:$A$91</xm:f>
          </x14:formula1>
          <xm:sqref>A49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V292"/>
  <sheetViews>
    <sheetView topLeftCell="A8" zoomScale="90" zoomScaleNormal="90" workbookViewId="0">
      <pane xSplit="1" topLeftCell="N1" activePane="topRight" state="frozen"/>
      <selection pane="topRight" activeCell="P14" sqref="P14"/>
    </sheetView>
  </sheetViews>
  <sheetFormatPr defaultRowHeight="12.75" x14ac:dyDescent="0.2"/>
  <cols>
    <col min="1" max="1" width="35" customWidth="1"/>
    <col min="2" max="2" width="12.7109375" customWidth="1"/>
    <col min="3" max="3" width="24.140625" customWidth="1"/>
    <col min="4" max="4" width="48.85546875" customWidth="1"/>
    <col min="5" max="5" width="13.7109375" customWidth="1"/>
    <col min="6" max="6" width="26.85546875" customWidth="1"/>
    <col min="7" max="16" width="14.85546875" customWidth="1"/>
    <col min="17" max="21" width="14.85546875" bestFit="1" customWidth="1"/>
    <col min="22" max="22" width="17.5703125" customWidth="1"/>
    <col min="23" max="35" width="14.85546875" bestFit="1" customWidth="1"/>
  </cols>
  <sheetData>
    <row r="1" spans="1:22" ht="13.5" thickBot="1" x14ac:dyDescent="0.25">
      <c r="B1" s="154"/>
      <c r="C1" s="154"/>
      <c r="D1" s="414" t="s">
        <v>257</v>
      </c>
      <c r="E1" s="414"/>
      <c r="F1" s="154"/>
      <c r="G1" s="154"/>
      <c r="H1" s="154"/>
      <c r="I1" s="154"/>
    </row>
    <row r="2" spans="1:22" ht="25.5" customHeight="1" thickBot="1" x14ac:dyDescent="0.3">
      <c r="A2" s="245"/>
      <c r="B2" s="429" t="s">
        <v>77</v>
      </c>
      <c r="C2" s="430"/>
      <c r="D2" s="287" t="s">
        <v>261</v>
      </c>
      <c r="E2" s="286">
        <v>2728</v>
      </c>
      <c r="H2" s="154"/>
      <c r="I2" s="154"/>
    </row>
    <row r="3" spans="1:22" ht="15.75" thickBot="1" x14ac:dyDescent="0.3">
      <c r="A3" s="154"/>
      <c r="D3" s="287" t="s">
        <v>259</v>
      </c>
      <c r="E3" s="286">
        <v>500000</v>
      </c>
      <c r="H3" s="154"/>
      <c r="I3" s="154"/>
    </row>
    <row r="4" spans="1:22" ht="15.75" thickBot="1" x14ac:dyDescent="0.3">
      <c r="A4" s="154"/>
      <c r="D4" s="288" t="s">
        <v>256</v>
      </c>
      <c r="E4" s="286">
        <v>1.18E-2</v>
      </c>
      <c r="H4" s="154"/>
      <c r="I4" s="154"/>
    </row>
    <row r="5" spans="1:22" ht="15.75" thickBot="1" x14ac:dyDescent="0.3">
      <c r="D5" s="288" t="s">
        <v>260</v>
      </c>
      <c r="E5" s="286">
        <v>0.24</v>
      </c>
      <c r="H5" s="154"/>
      <c r="I5" s="154"/>
    </row>
    <row r="6" spans="1:22" ht="15.75" thickBot="1" x14ac:dyDescent="0.3">
      <c r="A6" s="428" t="s">
        <v>72</v>
      </c>
      <c r="B6" s="428"/>
      <c r="C6" s="154"/>
      <c r="D6" s="287" t="s">
        <v>258</v>
      </c>
      <c r="E6" s="286">
        <v>4560</v>
      </c>
      <c r="F6" s="154"/>
      <c r="G6" s="154"/>
      <c r="H6" s="154"/>
      <c r="I6" s="154"/>
    </row>
    <row r="7" spans="1:22" x14ac:dyDescent="0.2">
      <c r="A7" s="156" t="s">
        <v>14</v>
      </c>
      <c r="B7" s="294">
        <v>0.6</v>
      </c>
      <c r="C7" s="154"/>
      <c r="F7" s="154"/>
      <c r="G7" s="154"/>
      <c r="H7" s="154"/>
      <c r="I7" s="154"/>
    </row>
    <row r="8" spans="1:22" x14ac:dyDescent="0.2">
      <c r="A8" s="157" t="s">
        <v>15</v>
      </c>
      <c r="B8" s="295">
        <v>0.75</v>
      </c>
      <c r="C8" s="415" t="s">
        <v>145</v>
      </c>
      <c r="D8" s="415"/>
      <c r="E8" s="416" t="s">
        <v>141</v>
      </c>
      <c r="F8" s="416"/>
      <c r="G8" s="154"/>
      <c r="H8" s="154"/>
      <c r="I8" s="154"/>
    </row>
    <row r="9" spans="1:22" x14ac:dyDescent="0.2">
      <c r="A9" s="156" t="s">
        <v>16</v>
      </c>
      <c r="B9" s="295">
        <v>0.9</v>
      </c>
      <c r="C9" s="154"/>
      <c r="D9" s="154"/>
      <c r="E9" s="154"/>
      <c r="F9" s="154"/>
      <c r="G9" s="154"/>
      <c r="H9" s="154"/>
      <c r="I9" s="154"/>
    </row>
    <row r="10" spans="1:22" x14ac:dyDescent="0.2">
      <c r="A10" s="158"/>
      <c r="B10" s="154"/>
      <c r="C10" s="154"/>
      <c r="D10" s="154"/>
      <c r="E10" s="154"/>
      <c r="F10" s="154"/>
      <c r="G10" s="154"/>
      <c r="H10" s="154"/>
      <c r="I10" s="154"/>
    </row>
    <row r="11" spans="1:22" ht="23.25" customHeight="1" x14ac:dyDescent="0.2">
      <c r="A11" s="159"/>
      <c r="B11" s="152" t="s">
        <v>146</v>
      </c>
      <c r="C11" s="6" t="s">
        <v>121</v>
      </c>
      <c r="D11" s="51" t="s">
        <v>196</v>
      </c>
      <c r="E11" s="10" t="s">
        <v>60</v>
      </c>
      <c r="F11" s="420" t="s">
        <v>24</v>
      </c>
      <c r="G11" s="421"/>
      <c r="H11" s="421"/>
      <c r="I11" s="422"/>
      <c r="J11" s="432" t="s">
        <v>104</v>
      </c>
      <c r="K11" s="433"/>
      <c r="L11" s="433"/>
      <c r="M11" s="22" t="s">
        <v>34</v>
      </c>
    </row>
    <row r="12" spans="1:22" ht="25.5" x14ac:dyDescent="0.2">
      <c r="A12" s="160" t="s">
        <v>163</v>
      </c>
      <c r="B12" s="152" t="s">
        <v>25</v>
      </c>
      <c r="C12" s="6" t="s">
        <v>123</v>
      </c>
      <c r="D12" s="151" t="s">
        <v>137</v>
      </c>
      <c r="E12" s="3" t="s">
        <v>59</v>
      </c>
      <c r="F12" s="8" t="s">
        <v>64</v>
      </c>
      <c r="G12" s="8" t="s">
        <v>63</v>
      </c>
      <c r="H12" s="8" t="s">
        <v>13</v>
      </c>
      <c r="I12" s="11" t="s">
        <v>138</v>
      </c>
      <c r="J12" s="7" t="s">
        <v>53</v>
      </c>
      <c r="K12" s="7" t="s">
        <v>54</v>
      </c>
      <c r="L12" s="7" t="s">
        <v>55</v>
      </c>
      <c r="M12" s="23" t="s">
        <v>23</v>
      </c>
      <c r="N12" s="93" t="s">
        <v>173</v>
      </c>
      <c r="O12" s="93" t="s">
        <v>170</v>
      </c>
      <c r="P12" s="155" t="s">
        <v>221</v>
      </c>
      <c r="Q12" s="93" t="s">
        <v>172</v>
      </c>
      <c r="R12" s="93" t="s">
        <v>218</v>
      </c>
      <c r="S12" s="93" t="s">
        <v>219</v>
      </c>
      <c r="T12" s="155" t="s">
        <v>220</v>
      </c>
      <c r="U12" s="93" t="s">
        <v>222</v>
      </c>
      <c r="V12" s="385" t="s">
        <v>351</v>
      </c>
    </row>
    <row r="13" spans="1:22" ht="25.5" x14ac:dyDescent="0.2">
      <c r="A13" s="246" t="s">
        <v>52</v>
      </c>
      <c r="B13" s="247" t="s">
        <v>161</v>
      </c>
      <c r="C13" s="247">
        <v>4940</v>
      </c>
      <c r="D13" s="247" t="s">
        <v>161</v>
      </c>
      <c r="E13" s="248">
        <v>1</v>
      </c>
      <c r="F13" s="249">
        <v>6</v>
      </c>
      <c r="G13" s="249">
        <v>20</v>
      </c>
      <c r="H13" s="249">
        <v>7.1</v>
      </c>
      <c r="I13" s="250">
        <f>((100-Variable!$B$7)/H13)+F13</f>
        <v>6</v>
      </c>
      <c r="J13" s="251">
        <v>13.6</v>
      </c>
      <c r="K13" s="251">
        <v>4</v>
      </c>
      <c r="L13" s="251">
        <v>18.399999999999999</v>
      </c>
      <c r="M13" s="251">
        <v>13.7</v>
      </c>
      <c r="N13" s="252">
        <v>6.7</v>
      </c>
      <c r="O13" s="253" t="s">
        <v>174</v>
      </c>
      <c r="P13" s="254">
        <v>760</v>
      </c>
      <c r="Q13" s="254" t="s">
        <v>176</v>
      </c>
      <c r="R13" s="252">
        <v>7</v>
      </c>
      <c r="S13" s="252" t="s">
        <v>203</v>
      </c>
      <c r="T13" s="254">
        <f>500*0.76</f>
        <v>380</v>
      </c>
      <c r="U13" s="254" t="s">
        <v>176</v>
      </c>
      <c r="V13" s="384">
        <v>1</v>
      </c>
    </row>
    <row r="14" spans="1:22" x14ac:dyDescent="0.2">
      <c r="A14" s="255" t="s">
        <v>5</v>
      </c>
      <c r="B14" s="247" t="s">
        <v>161</v>
      </c>
      <c r="C14" s="247">
        <v>3610</v>
      </c>
      <c r="D14" s="247" t="s">
        <v>161</v>
      </c>
      <c r="E14" s="256">
        <v>1</v>
      </c>
      <c r="F14" s="256">
        <v>8</v>
      </c>
      <c r="G14" s="256">
        <v>28</v>
      </c>
      <c r="H14" s="256">
        <v>5</v>
      </c>
      <c r="I14" s="257">
        <f>((100-Variable!$B$7)/H14)+F14</f>
        <v>8</v>
      </c>
      <c r="J14" s="258">
        <v>11</v>
      </c>
      <c r="K14" s="258">
        <v>4.5999999999999996</v>
      </c>
      <c r="L14" s="258">
        <v>18</v>
      </c>
      <c r="M14" s="258">
        <v>11</v>
      </c>
      <c r="N14" s="258">
        <v>6.8</v>
      </c>
      <c r="O14" s="258" t="s">
        <v>174</v>
      </c>
      <c r="P14" s="259">
        <v>570</v>
      </c>
      <c r="Q14" s="259" t="s">
        <v>176</v>
      </c>
      <c r="R14" s="258">
        <v>4.2</v>
      </c>
      <c r="S14" s="258" t="s">
        <v>203</v>
      </c>
      <c r="T14" s="259">
        <f>500*0.76</f>
        <v>380</v>
      </c>
      <c r="U14" s="259" t="s">
        <v>176</v>
      </c>
      <c r="V14" s="384">
        <v>1</v>
      </c>
    </row>
    <row r="15" spans="1:22" x14ac:dyDescent="0.2">
      <c r="A15" s="255" t="s">
        <v>103</v>
      </c>
      <c r="B15" s="247" t="s">
        <v>161</v>
      </c>
      <c r="C15" s="247">
        <v>3240</v>
      </c>
      <c r="D15" s="247" t="s">
        <v>161</v>
      </c>
      <c r="E15" s="248">
        <v>1</v>
      </c>
      <c r="F15" s="249">
        <v>3.4</v>
      </c>
      <c r="G15" s="249">
        <v>13</v>
      </c>
      <c r="H15" s="249">
        <v>10.6</v>
      </c>
      <c r="I15" s="250">
        <f>((100-Variable!$B$7)/H15)+F15</f>
        <v>3.4</v>
      </c>
      <c r="J15" s="251">
        <v>0</v>
      </c>
      <c r="K15" s="251">
        <v>11.17</v>
      </c>
      <c r="L15" s="251">
        <v>32.5</v>
      </c>
      <c r="M15" s="251">
        <v>6</v>
      </c>
      <c r="N15" s="251">
        <v>6</v>
      </c>
      <c r="O15" s="251" t="s">
        <v>147</v>
      </c>
      <c r="P15" s="260">
        <v>6840</v>
      </c>
      <c r="Q15" s="259" t="s">
        <v>176</v>
      </c>
      <c r="R15" s="251"/>
      <c r="S15" s="251"/>
      <c r="T15" s="260"/>
      <c r="U15" s="260"/>
      <c r="V15" s="384">
        <v>1</v>
      </c>
    </row>
    <row r="16" spans="1:22" x14ac:dyDescent="0.2">
      <c r="A16" s="255" t="s">
        <v>75</v>
      </c>
      <c r="B16" s="247" t="s">
        <v>161</v>
      </c>
      <c r="C16" s="247">
        <v>3230</v>
      </c>
      <c r="D16" s="247" t="s">
        <v>161</v>
      </c>
      <c r="E16" s="256">
        <v>1</v>
      </c>
      <c r="F16" s="256">
        <v>1.5</v>
      </c>
      <c r="G16" s="256">
        <v>12</v>
      </c>
      <c r="H16" s="256">
        <v>6.9</v>
      </c>
      <c r="I16" s="257">
        <f>((100-Variable!$B$7)/H16)+F16</f>
        <v>1.5</v>
      </c>
      <c r="J16" s="258">
        <v>0</v>
      </c>
      <c r="K16" s="258">
        <v>14</v>
      </c>
      <c r="L16" s="258">
        <v>31</v>
      </c>
      <c r="M16" s="258">
        <v>5</v>
      </c>
      <c r="N16" s="258">
        <v>5</v>
      </c>
      <c r="O16" s="258" t="s">
        <v>147</v>
      </c>
      <c r="P16" s="259">
        <v>3040</v>
      </c>
      <c r="Q16" s="259" t="s">
        <v>176</v>
      </c>
      <c r="R16" s="258"/>
      <c r="S16" s="258"/>
      <c r="T16" s="259"/>
      <c r="U16" s="259"/>
      <c r="V16" s="384">
        <v>1</v>
      </c>
    </row>
    <row r="17" spans="1:22" x14ac:dyDescent="0.2">
      <c r="A17" s="255" t="s">
        <v>6</v>
      </c>
      <c r="B17" s="247" t="s">
        <v>161</v>
      </c>
      <c r="C17" s="247">
        <v>3040</v>
      </c>
      <c r="D17" s="247" t="s">
        <v>161</v>
      </c>
      <c r="E17" s="248">
        <v>1</v>
      </c>
      <c r="F17" s="249">
        <v>5.2</v>
      </c>
      <c r="G17" s="249">
        <v>20.399999999999999</v>
      </c>
      <c r="H17" s="249">
        <v>6.6</v>
      </c>
      <c r="I17" s="250">
        <f>((100-Variable!$B$7)/H17)+F17</f>
        <v>5.2</v>
      </c>
      <c r="J17" s="251">
        <v>14</v>
      </c>
      <c r="K17" s="251">
        <v>5.0999999999999996</v>
      </c>
      <c r="L17" s="251">
        <v>24</v>
      </c>
      <c r="M17" s="251">
        <v>9.8000000000000007</v>
      </c>
      <c r="N17" s="251">
        <v>9.8000000000000007</v>
      </c>
      <c r="O17" s="251" t="s">
        <v>147</v>
      </c>
      <c r="P17" s="260">
        <v>646</v>
      </c>
      <c r="Q17" s="259" t="s">
        <v>176</v>
      </c>
      <c r="R17" s="251"/>
      <c r="S17" s="251"/>
      <c r="T17" s="260"/>
      <c r="U17" s="260"/>
      <c r="V17" s="384">
        <v>1</v>
      </c>
    </row>
    <row r="18" spans="1:22" x14ac:dyDescent="0.2">
      <c r="A18" s="255" t="s">
        <v>136</v>
      </c>
      <c r="B18" s="247" t="s">
        <v>161</v>
      </c>
      <c r="C18" s="247">
        <v>3920</v>
      </c>
      <c r="D18" s="247" t="s">
        <v>161</v>
      </c>
      <c r="E18" s="248">
        <v>1</v>
      </c>
      <c r="F18" s="249">
        <v>1.7</v>
      </c>
      <c r="G18" s="249">
        <v>10</v>
      </c>
      <c r="H18" s="249">
        <v>12</v>
      </c>
      <c r="I18" s="250">
        <v>1.7</v>
      </c>
      <c r="J18" s="251">
        <v>5</v>
      </c>
      <c r="K18" s="251">
        <v>0.8</v>
      </c>
      <c r="L18" s="251">
        <v>6.7</v>
      </c>
      <c r="M18" s="251">
        <v>30</v>
      </c>
      <c r="N18" s="258">
        <v>30</v>
      </c>
      <c r="O18" s="258" t="s">
        <v>147</v>
      </c>
      <c r="P18" s="259">
        <v>1900</v>
      </c>
      <c r="Q18" s="259" t="s">
        <v>176</v>
      </c>
      <c r="R18" s="258"/>
      <c r="S18" s="258"/>
      <c r="T18" s="259"/>
      <c r="U18" s="259"/>
      <c r="V18" s="384">
        <v>1</v>
      </c>
    </row>
    <row r="19" spans="1:22" x14ac:dyDescent="0.2">
      <c r="A19" s="255" t="s">
        <v>18</v>
      </c>
      <c r="B19" s="247" t="s">
        <v>161</v>
      </c>
      <c r="C19" s="247">
        <v>3910</v>
      </c>
      <c r="D19" s="247">
        <v>5410</v>
      </c>
      <c r="E19" s="248">
        <v>1</v>
      </c>
      <c r="F19" s="249">
        <v>1.2</v>
      </c>
      <c r="G19" s="249">
        <v>7.4</v>
      </c>
      <c r="H19" s="249">
        <v>16</v>
      </c>
      <c r="I19" s="250">
        <f>((100-Variable!$B$7)/H19)+F19</f>
        <v>1.2</v>
      </c>
      <c r="J19" s="251">
        <v>2.5</v>
      </c>
      <c r="K19" s="251">
        <v>1</v>
      </c>
      <c r="L19" s="251">
        <v>2.7</v>
      </c>
      <c r="M19" s="251">
        <v>30</v>
      </c>
      <c r="N19" s="251">
        <v>30</v>
      </c>
      <c r="O19" s="251" t="s">
        <v>147</v>
      </c>
      <c r="P19" s="260">
        <v>1140</v>
      </c>
      <c r="Q19" s="259" t="s">
        <v>176</v>
      </c>
      <c r="R19" s="251"/>
      <c r="S19" s="251"/>
      <c r="T19" s="260"/>
      <c r="U19" s="260"/>
      <c r="V19" s="384">
        <v>1</v>
      </c>
    </row>
    <row r="20" spans="1:22" x14ac:dyDescent="0.2">
      <c r="A20" s="255" t="s">
        <v>58</v>
      </c>
      <c r="B20" s="247" t="s">
        <v>161</v>
      </c>
      <c r="C20" s="247">
        <v>4520</v>
      </c>
      <c r="D20" s="247">
        <v>3060</v>
      </c>
      <c r="E20" s="256">
        <v>1</v>
      </c>
      <c r="F20" s="256">
        <v>1.3</v>
      </c>
      <c r="G20" s="256">
        <v>9</v>
      </c>
      <c r="H20" s="256">
        <v>13</v>
      </c>
      <c r="I20" s="257">
        <f>((100-Variable!$B$7)/H20)+F20</f>
        <v>1.3</v>
      </c>
      <c r="J20" s="258">
        <v>3.8</v>
      </c>
      <c r="K20" s="258">
        <v>1.2</v>
      </c>
      <c r="L20" s="258">
        <v>7.2</v>
      </c>
      <c r="M20" s="258">
        <v>30</v>
      </c>
      <c r="N20" s="258">
        <v>30</v>
      </c>
      <c r="O20" s="258" t="s">
        <v>147</v>
      </c>
      <c r="P20" s="259">
        <v>760</v>
      </c>
      <c r="Q20" s="259" t="s">
        <v>176</v>
      </c>
      <c r="R20" s="258"/>
      <c r="S20" s="258"/>
      <c r="T20" s="259"/>
      <c r="U20" s="259" t="s">
        <v>176</v>
      </c>
      <c r="V20" s="384">
        <v>2</v>
      </c>
    </row>
    <row r="21" spans="1:22" x14ac:dyDescent="0.2">
      <c r="A21" s="255" t="s">
        <v>20</v>
      </c>
      <c r="B21" s="247" t="s">
        <v>161</v>
      </c>
      <c r="C21" s="256">
        <v>1900</v>
      </c>
      <c r="D21" s="256">
        <v>3860</v>
      </c>
      <c r="E21" s="248">
        <v>1</v>
      </c>
      <c r="F21" s="249">
        <v>1</v>
      </c>
      <c r="G21" s="249">
        <v>8.1</v>
      </c>
      <c r="H21" s="249">
        <v>14</v>
      </c>
      <c r="I21" s="250">
        <f>((100-Variable!$B$7)/H21)+F21</f>
        <v>1</v>
      </c>
      <c r="J21" s="251">
        <v>2.9</v>
      </c>
      <c r="K21" s="251">
        <v>1.7</v>
      </c>
      <c r="L21" s="251">
        <v>4.0999999999999996</v>
      </c>
      <c r="M21" s="251">
        <v>25</v>
      </c>
      <c r="N21" s="251">
        <v>25</v>
      </c>
      <c r="O21" s="251" t="s">
        <v>147</v>
      </c>
      <c r="P21" s="260">
        <v>1140</v>
      </c>
      <c r="Q21" s="259" t="s">
        <v>176</v>
      </c>
      <c r="R21" s="251"/>
      <c r="S21" s="251"/>
      <c r="T21" s="260"/>
      <c r="U21" s="259" t="s">
        <v>176</v>
      </c>
      <c r="V21" s="384">
        <v>2</v>
      </c>
    </row>
    <row r="22" spans="1:22" x14ac:dyDescent="0.2">
      <c r="A22" s="255" t="s">
        <v>21</v>
      </c>
      <c r="B22" s="247" t="s">
        <v>161</v>
      </c>
      <c r="C22" s="247">
        <v>930</v>
      </c>
      <c r="D22" s="247">
        <v>1220</v>
      </c>
      <c r="E22" s="256">
        <v>1</v>
      </c>
      <c r="F22" s="256">
        <v>1.2</v>
      </c>
      <c r="G22" s="256">
        <v>8.9</v>
      </c>
      <c r="H22" s="256">
        <v>13</v>
      </c>
      <c r="I22" s="257">
        <f>((100-Variable!$B$7)/H22)+F22</f>
        <v>1.2</v>
      </c>
      <c r="J22" s="258">
        <v>14.5</v>
      </c>
      <c r="K22" s="258">
        <v>4.7</v>
      </c>
      <c r="L22" s="258">
        <v>20.5</v>
      </c>
      <c r="M22" s="258">
        <v>20</v>
      </c>
      <c r="N22" s="258">
        <v>20</v>
      </c>
      <c r="O22" s="258" t="s">
        <v>147</v>
      </c>
      <c r="P22" s="259">
        <v>380</v>
      </c>
      <c r="Q22" s="259" t="s">
        <v>176</v>
      </c>
      <c r="R22" s="258"/>
      <c r="S22" s="258"/>
      <c r="T22" s="259"/>
      <c r="U22" s="259" t="s">
        <v>176</v>
      </c>
      <c r="V22" s="384">
        <v>2</v>
      </c>
    </row>
    <row r="23" spans="1:22" x14ac:dyDescent="0.2">
      <c r="A23" s="255" t="s">
        <v>7</v>
      </c>
      <c r="B23" s="247" t="s">
        <v>161</v>
      </c>
      <c r="C23" s="247" t="s">
        <v>161</v>
      </c>
      <c r="D23" s="247">
        <v>4920</v>
      </c>
      <c r="E23" s="248">
        <v>1</v>
      </c>
      <c r="F23" s="249">
        <v>6</v>
      </c>
      <c r="G23" s="249">
        <v>18</v>
      </c>
      <c r="H23" s="249">
        <v>8.3000000000000007</v>
      </c>
      <c r="I23" s="250">
        <f>((100-Variable!$B$7)/H23)+F23</f>
        <v>6</v>
      </c>
      <c r="J23" s="251">
        <v>35.700000000000003</v>
      </c>
      <c r="K23" s="251">
        <v>10.199999999999999</v>
      </c>
      <c r="L23" s="251">
        <v>28</v>
      </c>
      <c r="M23" s="251">
        <v>1.2</v>
      </c>
      <c r="N23" s="251">
        <v>1.2</v>
      </c>
      <c r="O23" s="251" t="s">
        <v>147</v>
      </c>
      <c r="P23" s="260">
        <v>6080</v>
      </c>
      <c r="Q23" s="259" t="s">
        <v>176</v>
      </c>
      <c r="R23" s="251"/>
      <c r="S23" s="251"/>
      <c r="T23" s="260"/>
      <c r="U23" s="260"/>
      <c r="V23" s="384">
        <v>1</v>
      </c>
    </row>
    <row r="24" spans="1:22" x14ac:dyDescent="0.2">
      <c r="A24" s="255" t="s">
        <v>19</v>
      </c>
      <c r="B24" s="247" t="s">
        <v>161</v>
      </c>
      <c r="C24" s="247" t="s">
        <v>161</v>
      </c>
      <c r="D24" s="247">
        <v>5790</v>
      </c>
      <c r="E24" s="256">
        <v>1</v>
      </c>
      <c r="F24" s="256">
        <v>2.5</v>
      </c>
      <c r="G24" s="256">
        <v>13</v>
      </c>
      <c r="H24" s="256">
        <v>9.9</v>
      </c>
      <c r="I24" s="257">
        <f>((100-Variable!$B$7)/H24)+F24</f>
        <v>2.5</v>
      </c>
      <c r="J24" s="258">
        <v>6</v>
      </c>
      <c r="K24" s="258">
        <v>1.7</v>
      </c>
      <c r="L24" s="258">
        <v>11</v>
      </c>
      <c r="M24" s="258">
        <v>27</v>
      </c>
      <c r="N24" s="258">
        <v>27</v>
      </c>
      <c r="O24" s="258" t="s">
        <v>147</v>
      </c>
      <c r="P24" s="259">
        <v>760</v>
      </c>
      <c r="Q24" s="259" t="s">
        <v>176</v>
      </c>
      <c r="R24" s="258"/>
      <c r="S24" s="258"/>
      <c r="T24" s="259"/>
      <c r="U24" s="259"/>
      <c r="V24" s="384">
        <v>1</v>
      </c>
    </row>
    <row r="25" spans="1:22" x14ac:dyDescent="0.2">
      <c r="A25" s="255" t="s">
        <v>8</v>
      </c>
      <c r="B25" s="247" t="s">
        <v>161</v>
      </c>
      <c r="C25" s="247" t="s">
        <v>161</v>
      </c>
      <c r="D25" s="247">
        <v>6850</v>
      </c>
      <c r="E25" s="248">
        <v>1</v>
      </c>
      <c r="F25" s="249">
        <v>2</v>
      </c>
      <c r="G25" s="249">
        <v>7.8</v>
      </c>
      <c r="H25" s="249">
        <v>17</v>
      </c>
      <c r="I25" s="250">
        <f>((100-Variable!$B$7)/H25)+F25</f>
        <v>2</v>
      </c>
      <c r="J25" s="251">
        <v>3.7</v>
      </c>
      <c r="K25" s="251">
        <v>1.1000000000000001</v>
      </c>
      <c r="L25" s="251">
        <v>6.7</v>
      </c>
      <c r="M25" s="251">
        <v>15</v>
      </c>
      <c r="N25" s="251">
        <v>15</v>
      </c>
      <c r="O25" s="251" t="s">
        <v>147</v>
      </c>
      <c r="P25" s="260">
        <v>1140</v>
      </c>
      <c r="Q25" s="259" t="s">
        <v>176</v>
      </c>
      <c r="R25" s="251"/>
      <c r="S25" s="251"/>
      <c r="T25" s="260"/>
      <c r="U25" s="260"/>
      <c r="V25" s="384">
        <v>1</v>
      </c>
    </row>
    <row r="26" spans="1:22" x14ac:dyDescent="0.2">
      <c r="A26" s="255" t="s">
        <v>9</v>
      </c>
      <c r="B26" s="247" t="s">
        <v>161</v>
      </c>
      <c r="C26" s="247" t="s">
        <v>161</v>
      </c>
      <c r="D26" s="247">
        <v>3910</v>
      </c>
      <c r="E26" s="256">
        <v>1</v>
      </c>
      <c r="F26" s="256">
        <v>2.5</v>
      </c>
      <c r="G26" s="256">
        <v>10</v>
      </c>
      <c r="H26" s="256">
        <v>13</v>
      </c>
      <c r="I26" s="257">
        <f>((100-Variable!$B$7)/H26)+F26</f>
        <v>2.5</v>
      </c>
      <c r="J26" s="258">
        <v>2</v>
      </c>
      <c r="K26" s="258">
        <v>1.4</v>
      </c>
      <c r="L26" s="258">
        <v>3.5</v>
      </c>
      <c r="M26" s="258">
        <v>13</v>
      </c>
      <c r="N26" s="258">
        <v>13</v>
      </c>
      <c r="O26" s="258" t="s">
        <v>147</v>
      </c>
      <c r="P26" s="259">
        <v>1520</v>
      </c>
      <c r="Q26" s="259" t="s">
        <v>176</v>
      </c>
      <c r="R26" s="258"/>
      <c r="S26" s="258"/>
      <c r="T26" s="259"/>
      <c r="U26" s="259"/>
      <c r="V26" s="384">
        <v>1</v>
      </c>
    </row>
    <row r="27" spans="1:22" x14ac:dyDescent="0.2">
      <c r="A27" s="255" t="s">
        <v>12</v>
      </c>
      <c r="B27" s="247" t="s">
        <v>161</v>
      </c>
      <c r="C27" s="247" t="s">
        <v>161</v>
      </c>
      <c r="D27" s="247">
        <v>7890</v>
      </c>
      <c r="E27" s="248">
        <v>1</v>
      </c>
      <c r="F27" s="249">
        <v>1.1000000000000001</v>
      </c>
      <c r="G27" s="249">
        <v>15.5</v>
      </c>
      <c r="H27" s="249">
        <v>6.9</v>
      </c>
      <c r="I27" s="250">
        <f>((100-Variable!$B$7)/H27)+F27</f>
        <v>1.1000000000000001</v>
      </c>
      <c r="J27" s="251">
        <v>5.2</v>
      </c>
      <c r="K27" s="251">
        <v>1.2</v>
      </c>
      <c r="L27" s="251">
        <v>8.5</v>
      </c>
      <c r="M27" s="251">
        <v>14</v>
      </c>
      <c r="N27" s="251">
        <v>14</v>
      </c>
      <c r="O27" s="251" t="s">
        <v>147</v>
      </c>
      <c r="P27" s="260">
        <v>760</v>
      </c>
      <c r="Q27" s="259" t="s">
        <v>176</v>
      </c>
      <c r="R27" s="251"/>
      <c r="S27" s="251"/>
      <c r="T27" s="260"/>
      <c r="U27" s="260"/>
      <c r="V27" s="384">
        <v>1</v>
      </c>
    </row>
    <row r="28" spans="1:22" x14ac:dyDescent="0.2">
      <c r="A28" s="255" t="s">
        <v>22</v>
      </c>
      <c r="B28" s="247" t="s">
        <v>161</v>
      </c>
      <c r="C28" s="247" t="s">
        <v>161</v>
      </c>
      <c r="D28" s="247">
        <v>7690</v>
      </c>
      <c r="E28" s="256">
        <v>1</v>
      </c>
      <c r="F28" s="256">
        <v>1.5</v>
      </c>
      <c r="G28" s="256">
        <v>8.6</v>
      </c>
      <c r="H28" s="256">
        <v>14</v>
      </c>
      <c r="I28" s="257">
        <f>((100-Variable!$B$7)/H28)+F28</f>
        <v>1.5</v>
      </c>
      <c r="J28" s="258">
        <v>3.3</v>
      </c>
      <c r="K28" s="258">
        <v>0.79</v>
      </c>
      <c r="L28" s="258">
        <v>4.4000000000000004</v>
      </c>
      <c r="M28" s="258">
        <v>11</v>
      </c>
      <c r="N28" s="258">
        <v>11</v>
      </c>
      <c r="O28" s="258" t="s">
        <v>147</v>
      </c>
      <c r="P28" s="259">
        <v>1520</v>
      </c>
      <c r="Q28" s="259" t="s">
        <v>176</v>
      </c>
      <c r="R28" s="258"/>
      <c r="S28" s="258"/>
      <c r="T28" s="259"/>
      <c r="U28" s="259"/>
      <c r="V28" s="384">
        <v>1</v>
      </c>
    </row>
    <row r="29" spans="1:22" x14ac:dyDescent="0.2">
      <c r="A29" s="255" t="s">
        <v>139</v>
      </c>
      <c r="B29" s="247" t="s">
        <v>161</v>
      </c>
      <c r="C29" s="247" t="s">
        <v>161</v>
      </c>
      <c r="D29" s="247">
        <v>4350</v>
      </c>
      <c r="E29" s="248">
        <v>1</v>
      </c>
      <c r="F29" s="256">
        <v>2.7</v>
      </c>
      <c r="G29" s="256">
        <v>10.7</v>
      </c>
      <c r="H29" s="256">
        <v>12.5</v>
      </c>
      <c r="I29" s="250">
        <f>((100-Variable!$B$7)/H29)+F29</f>
        <v>2.7</v>
      </c>
      <c r="J29" s="251">
        <v>5.3</v>
      </c>
      <c r="K29" s="251">
        <v>1.8</v>
      </c>
      <c r="L29" s="251">
        <v>8</v>
      </c>
      <c r="M29" s="251">
        <v>10</v>
      </c>
      <c r="N29" s="251">
        <v>10</v>
      </c>
      <c r="O29" s="251" t="s">
        <v>147</v>
      </c>
      <c r="P29" s="260">
        <v>760</v>
      </c>
      <c r="Q29" s="259" t="s">
        <v>176</v>
      </c>
      <c r="R29" s="251"/>
      <c r="S29" s="251"/>
      <c r="T29" s="260"/>
      <c r="U29" s="260"/>
      <c r="V29" s="384">
        <v>1</v>
      </c>
    </row>
    <row r="30" spans="1:22" x14ac:dyDescent="0.2">
      <c r="A30" s="255" t="s">
        <v>0</v>
      </c>
      <c r="B30" s="247">
        <v>6580</v>
      </c>
      <c r="C30" s="247" t="s">
        <v>161</v>
      </c>
      <c r="D30" s="247" t="s">
        <v>161</v>
      </c>
      <c r="E30" s="256">
        <v>0.8</v>
      </c>
      <c r="F30" s="256">
        <v>4</v>
      </c>
      <c r="G30" s="256">
        <v>12</v>
      </c>
      <c r="H30" s="256">
        <v>12</v>
      </c>
      <c r="I30" s="250">
        <f>((100-Variable!$B$7)/H30)+F30</f>
        <v>4</v>
      </c>
      <c r="J30" s="258">
        <v>6.8</v>
      </c>
      <c r="K30" s="258">
        <v>1.8</v>
      </c>
      <c r="L30" s="258">
        <v>13</v>
      </c>
      <c r="M30" s="258">
        <v>2.2999999999999998</v>
      </c>
      <c r="N30" s="258">
        <v>120</v>
      </c>
      <c r="O30" s="258" t="s">
        <v>171</v>
      </c>
      <c r="P30" s="259">
        <v>4.9400000000000004</v>
      </c>
      <c r="Q30" s="259" t="s">
        <v>177</v>
      </c>
      <c r="R30" s="251"/>
      <c r="S30" s="251"/>
      <c r="T30" s="260"/>
      <c r="U30" s="260"/>
      <c r="V30" s="384">
        <v>1</v>
      </c>
    </row>
    <row r="31" spans="1:22" x14ac:dyDescent="0.2">
      <c r="A31" s="255" t="s">
        <v>11</v>
      </c>
      <c r="B31" s="247">
        <v>12980</v>
      </c>
      <c r="C31" s="247" t="s">
        <v>161</v>
      </c>
      <c r="D31" s="247" t="s">
        <v>161</v>
      </c>
      <c r="E31" s="248">
        <v>0.8</v>
      </c>
      <c r="F31" s="249">
        <v>4</v>
      </c>
      <c r="G31" s="249">
        <v>32</v>
      </c>
      <c r="H31" s="249">
        <v>3.6</v>
      </c>
      <c r="I31" s="250">
        <f>((100-Variable!$B$7)/H31)+F31</f>
        <v>4</v>
      </c>
      <c r="J31" s="251">
        <v>3.2</v>
      </c>
      <c r="K31" s="251">
        <v>0.92</v>
      </c>
      <c r="L31" s="251">
        <v>7.8</v>
      </c>
      <c r="M31" s="251">
        <v>12</v>
      </c>
      <c r="N31" s="251">
        <v>12</v>
      </c>
      <c r="O31" s="251" t="s">
        <v>147</v>
      </c>
      <c r="P31" s="260">
        <v>1900</v>
      </c>
      <c r="Q31" s="259" t="s">
        <v>176</v>
      </c>
      <c r="R31" s="251"/>
      <c r="S31" s="251"/>
      <c r="T31" s="260"/>
      <c r="U31" s="260" t="s">
        <v>176</v>
      </c>
      <c r="V31" s="384">
        <v>1</v>
      </c>
    </row>
    <row r="32" spans="1:22" x14ac:dyDescent="0.2">
      <c r="A32" s="261" t="s">
        <v>74</v>
      </c>
      <c r="B32" s="247">
        <v>12190</v>
      </c>
      <c r="C32" s="247" t="s">
        <v>161</v>
      </c>
      <c r="D32" s="247" t="s">
        <v>161</v>
      </c>
      <c r="E32" s="256">
        <v>1</v>
      </c>
      <c r="F32" s="256">
        <v>2</v>
      </c>
      <c r="G32" s="256">
        <v>16</v>
      </c>
      <c r="H32" s="256">
        <v>7.3</v>
      </c>
      <c r="I32" s="250">
        <f>((100-Variable!$B$7)/H32)+F32</f>
        <v>2</v>
      </c>
      <c r="J32" s="258">
        <v>20</v>
      </c>
      <c r="K32" s="258">
        <v>9</v>
      </c>
      <c r="L32" s="258">
        <v>37</v>
      </c>
      <c r="M32" s="258">
        <v>15</v>
      </c>
      <c r="N32" s="262">
        <v>15</v>
      </c>
      <c r="O32" s="262" t="s">
        <v>147</v>
      </c>
      <c r="P32" s="263">
        <v>760</v>
      </c>
      <c r="Q32" s="263" t="s">
        <v>176</v>
      </c>
      <c r="R32" s="262"/>
      <c r="S32" s="262"/>
      <c r="T32" s="263"/>
      <c r="U32" s="263" t="s">
        <v>176</v>
      </c>
      <c r="V32" s="384">
        <v>1</v>
      </c>
    </row>
    <row r="33" spans="1:17" ht="13.5" thickBot="1" x14ac:dyDescent="0.25">
      <c r="A33" s="161"/>
      <c r="B33" s="161"/>
      <c r="C33" s="161"/>
      <c r="D33" s="161"/>
      <c r="E33" s="161"/>
      <c r="F33" s="161"/>
      <c r="G33" s="161"/>
      <c r="H33" s="161"/>
      <c r="I33" s="161"/>
      <c r="J33" s="52"/>
      <c r="K33" s="52"/>
      <c r="L33" s="52"/>
      <c r="M33" s="52"/>
      <c r="N33" s="52"/>
      <c r="O33" s="52"/>
    </row>
    <row r="34" spans="1:17" ht="21.75" customHeight="1" thickBot="1" x14ac:dyDescent="0.25">
      <c r="A34" s="154"/>
      <c r="B34" s="154"/>
      <c r="C34" s="154"/>
      <c r="D34" s="154"/>
      <c r="E34" s="154"/>
      <c r="F34" s="154"/>
      <c r="G34" s="154"/>
      <c r="H34" s="154"/>
      <c r="I34" s="425" t="s">
        <v>250</v>
      </c>
      <c r="J34" s="425"/>
      <c r="K34" s="425"/>
      <c r="L34" s="425"/>
    </row>
    <row r="35" spans="1:17" ht="25.5" customHeight="1" thickBot="1" x14ac:dyDescent="0.25">
      <c r="A35" s="154"/>
      <c r="B35" s="154"/>
      <c r="C35" s="423" t="s">
        <v>1</v>
      </c>
      <c r="D35" s="423"/>
      <c r="E35" s="423"/>
      <c r="F35" s="423"/>
      <c r="G35" s="162" t="s">
        <v>175</v>
      </c>
      <c r="I35" s="424" t="s">
        <v>254</v>
      </c>
      <c r="J35" s="424"/>
      <c r="K35" s="424" t="s">
        <v>347</v>
      </c>
      <c r="L35" s="424"/>
    </row>
    <row r="36" spans="1:17" ht="26.25" thickBot="1" x14ac:dyDescent="0.25">
      <c r="A36" s="434" t="s">
        <v>217</v>
      </c>
      <c r="B36" s="435"/>
      <c r="C36" s="163" t="s">
        <v>10</v>
      </c>
      <c r="D36" s="153" t="s">
        <v>119</v>
      </c>
      <c r="E36" s="153" t="s">
        <v>120</v>
      </c>
      <c r="F36" s="153" t="s">
        <v>17</v>
      </c>
      <c r="G36" s="162" t="s">
        <v>206</v>
      </c>
      <c r="I36" s="279" t="s">
        <v>239</v>
      </c>
      <c r="J36" s="279" t="s">
        <v>240</v>
      </c>
      <c r="K36" s="279" t="s">
        <v>239</v>
      </c>
      <c r="L36" s="279" t="s">
        <v>240</v>
      </c>
    </row>
    <row r="37" spans="1:17" ht="13.5" thickBot="1" x14ac:dyDescent="0.25">
      <c r="A37" s="220" t="s">
        <v>209</v>
      </c>
      <c r="B37" s="221" t="s">
        <v>168</v>
      </c>
      <c r="C37" s="221">
        <v>4.5</v>
      </c>
      <c r="D37" s="222">
        <v>0</v>
      </c>
      <c r="E37" s="222">
        <v>0</v>
      </c>
      <c r="F37" s="222">
        <v>0</v>
      </c>
      <c r="G37" s="222">
        <v>18.79</v>
      </c>
      <c r="I37" s="280">
        <v>0</v>
      </c>
      <c r="J37" s="280">
        <v>0</v>
      </c>
      <c r="K37" s="280">
        <v>0</v>
      </c>
      <c r="L37" s="280">
        <v>0</v>
      </c>
    </row>
    <row r="38" spans="1:17" ht="13.5" thickBot="1" x14ac:dyDescent="0.25">
      <c r="A38" s="220" t="s">
        <v>210</v>
      </c>
      <c r="B38" s="223" t="s">
        <v>169</v>
      </c>
      <c r="C38" s="223">
        <v>1.05</v>
      </c>
      <c r="D38" s="223">
        <v>0</v>
      </c>
      <c r="E38" s="223">
        <v>0</v>
      </c>
      <c r="F38" s="223">
        <v>0</v>
      </c>
      <c r="G38" s="223">
        <v>9.86</v>
      </c>
      <c r="I38" s="281">
        <v>0</v>
      </c>
      <c r="J38" s="281">
        <v>0</v>
      </c>
      <c r="K38" s="281">
        <v>0</v>
      </c>
      <c r="L38" s="281">
        <v>0</v>
      </c>
    </row>
    <row r="39" spans="1:17" ht="13.5" thickBot="1" x14ac:dyDescent="0.25">
      <c r="A39" s="220" t="s">
        <v>255</v>
      </c>
      <c r="B39" s="221" t="s">
        <v>2</v>
      </c>
      <c r="C39" s="221">
        <v>4</v>
      </c>
      <c r="D39" s="222">
        <v>25</v>
      </c>
      <c r="E39" s="222">
        <v>7</v>
      </c>
      <c r="F39" s="222">
        <v>50</v>
      </c>
      <c r="G39" s="223">
        <v>9.86</v>
      </c>
      <c r="I39" s="363">
        <v>0.57999999999999996</v>
      </c>
      <c r="J39" s="364">
        <v>2.1999999999999999E-2</v>
      </c>
      <c r="K39" s="364">
        <v>0.56000000000000005</v>
      </c>
      <c r="L39" s="364">
        <v>7.3000000000000001E-3</v>
      </c>
    </row>
    <row r="40" spans="1:17" ht="13.5" thickBot="1" x14ac:dyDescent="0.25">
      <c r="A40" s="220" t="s">
        <v>223</v>
      </c>
      <c r="B40" s="221" t="s">
        <v>3</v>
      </c>
      <c r="C40" s="221">
        <v>4</v>
      </c>
      <c r="D40" s="222">
        <v>45</v>
      </c>
      <c r="E40" s="222">
        <v>9</v>
      </c>
      <c r="F40" s="222">
        <v>50</v>
      </c>
      <c r="G40" s="222">
        <v>10.95</v>
      </c>
      <c r="I40" s="363">
        <v>0.57999999999999996</v>
      </c>
      <c r="J40" s="364">
        <v>2.1999999999999999E-2</v>
      </c>
      <c r="K40" s="365">
        <v>0.56000000000000005</v>
      </c>
      <c r="L40" s="364">
        <v>7.3000000000000001E-3</v>
      </c>
      <c r="Q40" s="24"/>
    </row>
    <row r="41" spans="1:17" ht="26.25" thickBot="1" x14ac:dyDescent="0.25">
      <c r="A41" s="220" t="s">
        <v>224</v>
      </c>
      <c r="B41" s="221" t="s">
        <v>4</v>
      </c>
      <c r="C41" s="221">
        <v>4</v>
      </c>
      <c r="D41" s="223">
        <v>25</v>
      </c>
      <c r="E41" s="223">
        <v>6.5</v>
      </c>
      <c r="F41" s="222">
        <v>50</v>
      </c>
      <c r="G41" s="222">
        <v>10.95</v>
      </c>
      <c r="I41" s="366">
        <v>8.6E-3</v>
      </c>
      <c r="J41" s="367">
        <v>2.3E-5</v>
      </c>
      <c r="K41" s="368">
        <v>0.01</v>
      </c>
      <c r="L41" s="364">
        <v>7.3999999999999996E-5</v>
      </c>
    </row>
    <row r="42" spans="1:17" ht="13.5" customHeight="1" thickBot="1" x14ac:dyDescent="0.25">
      <c r="A42" s="220" t="s">
        <v>334</v>
      </c>
      <c r="B42" s="221" t="s">
        <v>26</v>
      </c>
      <c r="C42" s="221">
        <v>4</v>
      </c>
      <c r="D42" s="222">
        <v>21</v>
      </c>
      <c r="E42" s="222">
        <v>6.5</v>
      </c>
      <c r="F42" s="222">
        <v>50</v>
      </c>
      <c r="G42" s="355">
        <f>'inputdata(costs-benefits) '!B29/10^6</f>
        <v>30.24</v>
      </c>
      <c r="I42" s="366">
        <v>8.5999999999999993E-2</v>
      </c>
      <c r="J42" s="364">
        <v>2.3E-3</v>
      </c>
      <c r="K42" s="368">
        <v>9.9000000000000005E-2</v>
      </c>
      <c r="L42" s="364">
        <v>7.3999999999999999E-4</v>
      </c>
    </row>
    <row r="43" spans="1:17" ht="13.5" thickBot="1" x14ac:dyDescent="0.25">
      <c r="A43" s="220" t="s">
        <v>249</v>
      </c>
      <c r="B43" s="221" t="s">
        <v>27</v>
      </c>
      <c r="C43" s="221">
        <v>4</v>
      </c>
      <c r="D43" s="222">
        <v>15</v>
      </c>
      <c r="E43" s="222">
        <v>6.5</v>
      </c>
      <c r="F43" s="222">
        <v>50</v>
      </c>
      <c r="G43" s="222">
        <f>$E$3*0.7*$E$5*365/10^6</f>
        <v>30.66</v>
      </c>
      <c r="I43" s="366">
        <v>8.5999999999999993E-2</v>
      </c>
      <c r="J43" s="364">
        <v>2.3E-3</v>
      </c>
      <c r="K43" s="368">
        <v>9.9000000000000005E-2</v>
      </c>
      <c r="L43" s="364">
        <v>7.3999999999999999E-4</v>
      </c>
    </row>
    <row r="44" spans="1:17" ht="26.25" thickBot="1" x14ac:dyDescent="0.25">
      <c r="A44" s="220" t="s">
        <v>216</v>
      </c>
      <c r="B44" s="221" t="s">
        <v>28</v>
      </c>
      <c r="C44" s="221">
        <v>4</v>
      </c>
      <c r="D44" s="223">
        <v>25</v>
      </c>
      <c r="E44" s="223">
        <v>7</v>
      </c>
      <c r="F44" s="222">
        <v>50</v>
      </c>
      <c r="G44" s="222">
        <f>$E$3*0.7*$E$5*365/10^6</f>
        <v>30.66</v>
      </c>
      <c r="I44" s="366">
        <v>8.6E-3</v>
      </c>
      <c r="J44" s="364">
        <v>2.3E-3</v>
      </c>
      <c r="K44" s="368">
        <v>0.01</v>
      </c>
      <c r="L44" s="364">
        <v>7.3999999999999999E-4</v>
      </c>
      <c r="P44" s="50"/>
    </row>
    <row r="45" spans="1:17" ht="24.75" customHeight="1" thickBot="1" x14ac:dyDescent="0.25">
      <c r="A45" s="220" t="s">
        <v>232</v>
      </c>
      <c r="B45" s="221" t="s">
        <v>29</v>
      </c>
      <c r="C45" s="221">
        <v>4</v>
      </c>
      <c r="D45" s="222">
        <v>8</v>
      </c>
      <c r="E45" s="222">
        <v>9</v>
      </c>
      <c r="F45" s="222">
        <v>50</v>
      </c>
      <c r="G45" s="222">
        <f>$E$3*0.7*$E$5*365/10^6</f>
        <v>30.66</v>
      </c>
      <c r="I45" s="366">
        <v>8.6E-3</v>
      </c>
      <c r="J45" s="364">
        <v>2.3E-3</v>
      </c>
      <c r="K45" s="368">
        <v>0.01</v>
      </c>
      <c r="L45" s="364">
        <v>7.3999999999999999E-4</v>
      </c>
      <c r="P45" s="50"/>
    </row>
    <row r="46" spans="1:17" ht="24.75" customHeight="1" thickBot="1" x14ac:dyDescent="0.25">
      <c r="A46" s="220" t="s">
        <v>321</v>
      </c>
      <c r="B46" s="221" t="s">
        <v>307</v>
      </c>
      <c r="C46" s="221">
        <v>0.6</v>
      </c>
      <c r="D46" s="223">
        <v>1</v>
      </c>
      <c r="E46" s="223">
        <v>0.5</v>
      </c>
      <c r="F46" s="223">
        <v>1</v>
      </c>
      <c r="G46" s="222">
        <f>$E$3*0.7*$E$5*365/10^6</f>
        <v>30.66</v>
      </c>
      <c r="I46" s="366">
        <v>8.6000000000000007E-6</v>
      </c>
      <c r="J46" s="364">
        <v>2.3E-5</v>
      </c>
      <c r="K46" s="368">
        <v>1.1E-5</v>
      </c>
      <c r="L46" s="364">
        <v>7.4000000000000001E-8</v>
      </c>
    </row>
    <row r="47" spans="1:17" ht="32.25" customHeight="1" x14ac:dyDescent="0.2">
      <c r="I47" s="154"/>
      <c r="K47" s="47"/>
      <c r="P47" s="50"/>
    </row>
    <row r="48" spans="1:17" ht="14.25" customHeight="1" x14ac:dyDescent="0.2">
      <c r="K48" s="5"/>
      <c r="P48" s="50"/>
    </row>
    <row r="49" spans="1:16" ht="15.75" customHeight="1" x14ac:dyDescent="0.2">
      <c r="B49" s="154"/>
      <c r="C49" s="154"/>
      <c r="D49" s="154"/>
      <c r="E49" s="154"/>
      <c r="K49" s="5"/>
      <c r="P49" s="50"/>
    </row>
    <row r="50" spans="1:16" ht="13.5" customHeight="1" x14ac:dyDescent="0.2">
      <c r="A50" s="154"/>
      <c r="B50" s="154"/>
      <c r="C50" s="154"/>
      <c r="D50" s="154"/>
      <c r="E50" s="154"/>
      <c r="P50" s="50"/>
    </row>
    <row r="51" spans="1:16" ht="25.5" x14ac:dyDescent="0.2">
      <c r="A51" s="431" t="s">
        <v>35</v>
      </c>
      <c r="B51" s="164" t="s">
        <v>33</v>
      </c>
      <c r="C51" s="164"/>
      <c r="D51" s="164"/>
      <c r="E51" s="154"/>
      <c r="P51" s="50"/>
    </row>
    <row r="52" spans="1:16" ht="15" x14ac:dyDescent="0.2">
      <c r="A52" s="431"/>
      <c r="B52" s="165" t="s">
        <v>30</v>
      </c>
      <c r="C52" s="165" t="s">
        <v>31</v>
      </c>
      <c r="D52" s="165" t="s">
        <v>32</v>
      </c>
      <c r="E52" s="154"/>
      <c r="H52" s="154"/>
      <c r="I52" s="154"/>
      <c r="P52" s="50"/>
    </row>
    <row r="53" spans="1:16" ht="13.5" customHeight="1" x14ac:dyDescent="0.2">
      <c r="A53" s="164" t="s">
        <v>68</v>
      </c>
      <c r="B53" s="165"/>
      <c r="C53" s="165"/>
      <c r="D53" s="165"/>
      <c r="E53" s="154"/>
      <c r="P53" s="50"/>
    </row>
    <row r="54" spans="1:16" ht="12.75" customHeight="1" x14ac:dyDescent="0.2">
      <c r="A54" s="264" t="s">
        <v>44</v>
      </c>
      <c r="B54" s="265">
        <v>11</v>
      </c>
      <c r="C54" s="265">
        <v>52</v>
      </c>
      <c r="D54" s="265">
        <v>0</v>
      </c>
      <c r="E54" s="154"/>
      <c r="K54" s="48"/>
    </row>
    <row r="55" spans="1:16" x14ac:dyDescent="0.2">
      <c r="A55" s="264" t="s">
        <v>45</v>
      </c>
      <c r="B55" s="265">
        <v>18</v>
      </c>
      <c r="C55" s="265">
        <v>46</v>
      </c>
      <c r="D55" s="265">
        <v>0</v>
      </c>
      <c r="E55" s="154"/>
    </row>
    <row r="56" spans="1:16" ht="12" customHeight="1" x14ac:dyDescent="0.2">
      <c r="A56" s="264" t="s">
        <v>41</v>
      </c>
      <c r="B56" s="265">
        <v>44</v>
      </c>
      <c r="C56" s="265">
        <v>17</v>
      </c>
      <c r="D56" s="265">
        <v>0</v>
      </c>
      <c r="E56" s="154"/>
    </row>
    <row r="57" spans="1:16" x14ac:dyDescent="0.2">
      <c r="A57" s="264" t="s">
        <v>46</v>
      </c>
      <c r="B57" s="265">
        <v>0</v>
      </c>
      <c r="C57" s="265">
        <v>46</v>
      </c>
      <c r="D57" s="265">
        <v>0</v>
      </c>
      <c r="E57" s="154"/>
      <c r="K57" s="426" t="s">
        <v>144</v>
      </c>
      <c r="L57" s="427"/>
    </row>
    <row r="58" spans="1:16" x14ac:dyDescent="0.2">
      <c r="A58" s="264" t="s">
        <v>47</v>
      </c>
      <c r="B58" s="265">
        <v>0</v>
      </c>
      <c r="C58" s="265">
        <v>20</v>
      </c>
      <c r="D58" s="265">
        <v>0</v>
      </c>
      <c r="E58" s="154"/>
      <c r="K58" s="172" t="s">
        <v>100</v>
      </c>
      <c r="L58" s="173"/>
    </row>
    <row r="59" spans="1:16" x14ac:dyDescent="0.2">
      <c r="A59" s="164" t="s">
        <v>69</v>
      </c>
      <c r="B59" s="165"/>
      <c r="C59" s="165"/>
      <c r="D59" s="165"/>
      <c r="E59" s="154"/>
      <c r="K59" s="172" t="s">
        <v>101</v>
      </c>
      <c r="L59" s="174"/>
    </row>
    <row r="60" spans="1:16" ht="15" x14ac:dyDescent="0.2">
      <c r="A60" s="264" t="s">
        <v>43</v>
      </c>
      <c r="B60" s="265">
        <v>13</v>
      </c>
      <c r="C60" s="265">
        <v>0</v>
      </c>
      <c r="D60" s="265">
        <v>44</v>
      </c>
      <c r="E60" s="154"/>
      <c r="K60" s="172" t="s">
        <v>140</v>
      </c>
      <c r="L60" s="174"/>
      <c r="M60" s="84"/>
      <c r="N60" s="84"/>
      <c r="O60" s="50"/>
    </row>
    <row r="61" spans="1:16" ht="15" x14ac:dyDescent="0.2">
      <c r="A61" s="264" t="s">
        <v>42</v>
      </c>
      <c r="B61" s="265">
        <v>0</v>
      </c>
      <c r="C61" s="265">
        <v>0</v>
      </c>
      <c r="D61" s="265">
        <v>50</v>
      </c>
      <c r="E61" s="154"/>
      <c r="O61" s="50"/>
    </row>
    <row r="62" spans="1:16" x14ac:dyDescent="0.2">
      <c r="A62" s="164" t="s">
        <v>70</v>
      </c>
      <c r="B62" s="165"/>
      <c r="C62" s="165"/>
      <c r="D62" s="165"/>
      <c r="E62" s="154"/>
      <c r="K62" s="418" t="s">
        <v>114</v>
      </c>
      <c r="L62" s="419" t="s">
        <v>118</v>
      </c>
      <c r="M62" s="419"/>
      <c r="N62" s="419"/>
      <c r="O62" s="417" t="s">
        <v>109</v>
      </c>
      <c r="P62" s="417"/>
    </row>
    <row r="63" spans="1:16" ht="21.75" customHeight="1" x14ac:dyDescent="0.2">
      <c r="A63" s="264" t="s">
        <v>37</v>
      </c>
      <c r="B63" s="265">
        <v>46</v>
      </c>
      <c r="C63" s="265">
        <v>0</v>
      </c>
      <c r="D63" s="265">
        <v>0</v>
      </c>
      <c r="E63" s="154"/>
      <c r="K63" s="418"/>
      <c r="L63" s="168" t="s">
        <v>30</v>
      </c>
      <c r="M63" s="169" t="s">
        <v>112</v>
      </c>
      <c r="N63" s="170" t="s">
        <v>113</v>
      </c>
      <c r="O63" s="144" t="s">
        <v>105</v>
      </c>
      <c r="P63" s="144" t="s">
        <v>106</v>
      </c>
    </row>
    <row r="64" spans="1:16" ht="15" x14ac:dyDescent="0.25">
      <c r="A64" s="264" t="s">
        <v>38</v>
      </c>
      <c r="B64" s="265">
        <v>28</v>
      </c>
      <c r="C64" s="265">
        <v>0</v>
      </c>
      <c r="D64" s="265">
        <v>0</v>
      </c>
      <c r="E64" s="154"/>
      <c r="K64" s="166" t="s">
        <v>115</v>
      </c>
      <c r="L64" s="171">
        <v>8.9999999999999993E-3</v>
      </c>
      <c r="M64" s="171">
        <v>2.2000000000000001E-3</v>
      </c>
      <c r="N64" s="171">
        <v>6.6E-3</v>
      </c>
      <c r="O64" s="145">
        <v>0.7</v>
      </c>
      <c r="P64" s="145">
        <v>0.9</v>
      </c>
    </row>
    <row r="65" spans="1:16" ht="15" x14ac:dyDescent="0.25">
      <c r="A65" s="264" t="s">
        <v>39</v>
      </c>
      <c r="B65" s="265">
        <v>21</v>
      </c>
      <c r="C65" s="265">
        <v>0</v>
      </c>
      <c r="D65" s="265">
        <v>0</v>
      </c>
      <c r="E65" s="154"/>
      <c r="K65" s="166" t="s">
        <v>116</v>
      </c>
      <c r="L65" s="171">
        <v>8.9999999999999993E-3</v>
      </c>
      <c r="M65" s="171">
        <v>2.2000000000000001E-3</v>
      </c>
      <c r="N65" s="171">
        <v>2.2000000000000001E-3</v>
      </c>
      <c r="O65" s="145">
        <v>0.3</v>
      </c>
      <c r="P65" s="145">
        <v>0.9</v>
      </c>
    </row>
    <row r="66" spans="1:16" ht="15" x14ac:dyDescent="0.25">
      <c r="A66" s="264" t="s">
        <v>40</v>
      </c>
      <c r="B66" s="265">
        <v>33</v>
      </c>
      <c r="C66" s="265">
        <v>0</v>
      </c>
      <c r="D66" s="265">
        <v>0</v>
      </c>
      <c r="E66" s="154"/>
      <c r="K66" s="166" t="s">
        <v>117</v>
      </c>
      <c r="L66" s="171">
        <v>5.0000000000000001E-3</v>
      </c>
      <c r="M66" s="171">
        <v>1.2999999999999999E-3</v>
      </c>
      <c r="N66" s="171">
        <v>4.1000000000000003E-3</v>
      </c>
      <c r="O66" s="145">
        <v>0.3</v>
      </c>
      <c r="P66" s="145">
        <v>0.9</v>
      </c>
    </row>
    <row r="67" spans="1:16" x14ac:dyDescent="0.2">
      <c r="A67" s="167"/>
      <c r="B67" s="154"/>
      <c r="C67" s="154"/>
      <c r="D67" s="154"/>
      <c r="E67" s="154"/>
    </row>
    <row r="68" spans="1:16" x14ac:dyDescent="0.2">
      <c r="A68" s="154"/>
      <c r="B68" s="167"/>
      <c r="C68" s="154"/>
      <c r="D68" s="154"/>
      <c r="E68" s="154"/>
      <c r="F68" s="154"/>
      <c r="G68" s="154"/>
    </row>
    <row r="69" spans="1:16" x14ac:dyDescent="0.2">
      <c r="G69" s="154"/>
    </row>
    <row r="70" spans="1:16" x14ac:dyDescent="0.2">
      <c r="G70" s="154"/>
      <c r="H70" s="154"/>
      <c r="I70" s="154"/>
    </row>
    <row r="71" spans="1:16" x14ac:dyDescent="0.2">
      <c r="G71" s="154"/>
      <c r="H71" s="154"/>
      <c r="I71" s="154"/>
    </row>
    <row r="72" spans="1:16" x14ac:dyDescent="0.2">
      <c r="A72" s="154"/>
      <c r="B72" s="154"/>
      <c r="C72" s="154"/>
      <c r="G72" s="154"/>
      <c r="H72" s="154"/>
      <c r="I72" s="154"/>
    </row>
    <row r="73" spans="1:16" x14ac:dyDescent="0.2">
      <c r="A73" s="154"/>
      <c r="B73" s="154"/>
      <c r="C73" s="154"/>
      <c r="G73" s="154"/>
      <c r="H73" s="154"/>
      <c r="I73" s="154"/>
    </row>
    <row r="74" spans="1:16" x14ac:dyDescent="0.2">
      <c r="A74" s="154"/>
      <c r="B74" s="154"/>
      <c r="C74" s="154"/>
      <c r="G74" s="154"/>
      <c r="H74" s="154"/>
      <c r="I74" s="154"/>
    </row>
    <row r="75" spans="1:16" x14ac:dyDescent="0.2">
      <c r="A75" s="154"/>
      <c r="B75" s="154"/>
      <c r="C75" s="154"/>
      <c r="G75" s="154"/>
      <c r="H75" s="154"/>
      <c r="I75" s="154"/>
    </row>
    <row r="76" spans="1:16" x14ac:dyDescent="0.2">
      <c r="A76" s="154"/>
      <c r="B76" s="154"/>
      <c r="C76" s="154"/>
      <c r="G76" s="154"/>
      <c r="H76" s="154"/>
      <c r="I76" s="154"/>
    </row>
    <row r="77" spans="1:16" x14ac:dyDescent="0.2">
      <c r="A77" s="154"/>
      <c r="B77" s="154"/>
      <c r="C77" s="154"/>
      <c r="G77" s="154"/>
      <c r="H77" s="154"/>
      <c r="I77" s="154"/>
    </row>
    <row r="78" spans="1:16" x14ac:dyDescent="0.2">
      <c r="A78" s="154"/>
      <c r="B78" s="154"/>
      <c r="C78" s="154"/>
      <c r="G78" s="154"/>
      <c r="H78" s="154"/>
      <c r="I78" s="154"/>
    </row>
    <row r="79" spans="1:16" x14ac:dyDescent="0.2">
      <c r="A79" s="154"/>
      <c r="B79" s="154"/>
      <c r="C79" s="154"/>
      <c r="G79" s="154"/>
      <c r="H79" s="154"/>
      <c r="I79" s="154"/>
    </row>
    <row r="80" spans="1:16" x14ac:dyDescent="0.2">
      <c r="A80" s="154"/>
      <c r="B80" s="154"/>
      <c r="C80" s="154"/>
      <c r="G80" s="154"/>
      <c r="H80" s="154"/>
      <c r="I80" s="154"/>
    </row>
    <row r="81" spans="1:9" x14ac:dyDescent="0.2">
      <c r="A81" s="154"/>
      <c r="B81" s="154"/>
      <c r="C81" s="154"/>
      <c r="G81" s="154"/>
      <c r="H81" s="154"/>
      <c r="I81" s="154"/>
    </row>
    <row r="82" spans="1:9" ht="15.75" customHeight="1" x14ac:dyDescent="0.2">
      <c r="A82" s="154"/>
      <c r="B82" s="154"/>
      <c r="C82" s="154"/>
      <c r="G82" s="154"/>
    </row>
    <row r="83" spans="1:9" ht="18" customHeight="1" x14ac:dyDescent="0.2"/>
    <row r="84" spans="1:9" ht="18.75" customHeight="1" x14ac:dyDescent="0.2"/>
    <row r="85" spans="1:9" ht="12.75" customHeight="1" x14ac:dyDescent="0.2"/>
    <row r="86" spans="1:9" ht="30" customHeight="1" x14ac:dyDescent="0.2"/>
    <row r="87" spans="1:9" ht="12.75" customHeight="1" x14ac:dyDescent="0.2"/>
    <row r="89" spans="1:9" ht="29.25" customHeight="1" x14ac:dyDescent="0.2"/>
    <row r="90" spans="1:9" ht="28.5" customHeight="1" x14ac:dyDescent="0.2"/>
    <row r="93" spans="1:9" ht="15" customHeight="1" x14ac:dyDescent="0.2"/>
    <row r="94" spans="1:9" ht="12.75" customHeight="1" x14ac:dyDescent="0.2"/>
    <row r="95" spans="1:9"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5" customHeight="1" x14ac:dyDescent="0.2"/>
    <row r="114" ht="15" customHeight="1" x14ac:dyDescent="0.2"/>
    <row r="126" ht="12.75" customHeight="1" x14ac:dyDescent="0.2"/>
    <row r="127" ht="12.75" customHeight="1" x14ac:dyDescent="0.2"/>
    <row r="128" ht="12.75" customHeight="1" x14ac:dyDescent="0.2"/>
    <row r="129" spans="4:9" ht="12.75" customHeight="1" x14ac:dyDescent="0.2"/>
    <row r="130" spans="4:9" ht="12.75" customHeight="1" x14ac:dyDescent="0.2"/>
    <row r="131" spans="4:9" ht="12.75" customHeight="1" x14ac:dyDescent="0.2"/>
    <row r="132" spans="4:9" ht="12.75" customHeight="1" x14ac:dyDescent="0.2"/>
    <row r="133" spans="4:9" ht="12.75" customHeight="1" x14ac:dyDescent="0.2"/>
    <row r="140" spans="4:9" x14ac:dyDescent="0.2">
      <c r="H140" s="154"/>
      <c r="I140" s="154"/>
    </row>
    <row r="141" spans="4:9" x14ac:dyDescent="0.2">
      <c r="G141" s="154"/>
      <c r="H141" s="154"/>
      <c r="I141" s="154"/>
    </row>
    <row r="142" spans="4:9" x14ac:dyDescent="0.2">
      <c r="D142" t="s">
        <v>107</v>
      </c>
      <c r="G142" s="154"/>
      <c r="H142" s="154"/>
      <c r="I142" s="154"/>
    </row>
    <row r="143" spans="4:9" x14ac:dyDescent="0.2">
      <c r="E143" s="95"/>
      <c r="G143" s="154"/>
      <c r="H143" s="154"/>
      <c r="I143" s="154"/>
    </row>
    <row r="144" spans="4:9" x14ac:dyDescent="0.2">
      <c r="H144" s="154"/>
      <c r="I144" s="154"/>
    </row>
    <row r="145" spans="7:9" x14ac:dyDescent="0.2">
      <c r="G145" s="154"/>
      <c r="H145" s="154"/>
      <c r="I145" s="154"/>
    </row>
    <row r="146" spans="7:9" x14ac:dyDescent="0.2">
      <c r="G146" s="154"/>
      <c r="H146" s="154"/>
      <c r="I146" s="154"/>
    </row>
    <row r="147" spans="7:9" x14ac:dyDescent="0.2">
      <c r="G147" s="154"/>
      <c r="H147" s="154"/>
      <c r="I147" s="154"/>
    </row>
    <row r="148" spans="7:9" x14ac:dyDescent="0.2">
      <c r="G148" s="154"/>
      <c r="H148" s="154"/>
      <c r="I148" s="154"/>
    </row>
    <row r="149" spans="7:9" x14ac:dyDescent="0.2">
      <c r="G149" s="154"/>
      <c r="H149" s="154"/>
      <c r="I149" s="154"/>
    </row>
    <row r="150" spans="7:9" x14ac:dyDescent="0.2">
      <c r="G150" s="154"/>
    </row>
    <row r="163" spans="1:14" x14ac:dyDescent="0.2">
      <c r="H163" s="154"/>
      <c r="I163" s="154"/>
    </row>
    <row r="164" spans="1:14" x14ac:dyDescent="0.2">
      <c r="A164" s="154"/>
      <c r="B164" s="154"/>
      <c r="C164" s="154"/>
      <c r="D164" s="154"/>
      <c r="E164" s="154"/>
      <c r="F164" s="154"/>
      <c r="G164" s="154"/>
      <c r="H164" s="154"/>
      <c r="I164" s="154"/>
    </row>
    <row r="165" spans="1:14" x14ac:dyDescent="0.2">
      <c r="A165" s="154"/>
      <c r="B165" s="154"/>
      <c r="C165" s="154"/>
      <c r="D165" s="154"/>
      <c r="E165" s="154"/>
      <c r="F165" s="154"/>
      <c r="G165" s="154"/>
      <c r="H165" s="154"/>
      <c r="I165" s="154"/>
    </row>
    <row r="166" spans="1:14" x14ac:dyDescent="0.2">
      <c r="A166" s="154"/>
      <c r="B166" s="154"/>
      <c r="C166" s="154"/>
      <c r="D166" s="154"/>
      <c r="E166" s="154"/>
      <c r="F166" s="154"/>
      <c r="G166" s="154"/>
      <c r="H166" s="154"/>
      <c r="I166" s="154"/>
    </row>
    <row r="167" spans="1:14" x14ac:dyDescent="0.2">
      <c r="A167" s="154"/>
      <c r="B167" s="154"/>
      <c r="C167" s="154"/>
      <c r="D167" s="154"/>
      <c r="E167" s="154"/>
      <c r="F167" s="154"/>
      <c r="G167" s="154"/>
      <c r="H167" s="154"/>
      <c r="I167" s="154"/>
    </row>
    <row r="168" spans="1:14" x14ac:dyDescent="0.2">
      <c r="A168" s="154"/>
      <c r="B168" s="154"/>
      <c r="C168" s="154"/>
      <c r="D168" s="154"/>
      <c r="H168" s="154"/>
      <c r="I168" s="154"/>
    </row>
    <row r="169" spans="1:14" x14ac:dyDescent="0.2">
      <c r="A169" s="154"/>
      <c r="B169" s="154"/>
      <c r="C169" s="154"/>
      <c r="D169" s="154"/>
      <c r="H169" s="154"/>
      <c r="I169" s="154"/>
    </row>
    <row r="170" spans="1:14" x14ac:dyDescent="0.2">
      <c r="A170" s="154"/>
      <c r="B170" s="154"/>
      <c r="C170" s="154"/>
      <c r="D170" s="154"/>
      <c r="H170" s="154"/>
      <c r="I170" s="154"/>
    </row>
    <row r="171" spans="1:14" x14ac:dyDescent="0.2">
      <c r="A171" s="154"/>
      <c r="B171" s="154"/>
      <c r="C171" s="154"/>
      <c r="D171" s="154"/>
      <c r="H171" s="154"/>
      <c r="I171" s="154"/>
    </row>
    <row r="172" spans="1:14" x14ac:dyDescent="0.2">
      <c r="A172" s="154"/>
      <c r="B172" s="154"/>
      <c r="C172" s="154"/>
      <c r="D172" s="154"/>
      <c r="H172" s="154"/>
      <c r="I172" s="154"/>
    </row>
    <row r="173" spans="1:14" x14ac:dyDescent="0.2">
      <c r="A173" s="154"/>
      <c r="B173" s="154"/>
      <c r="C173" s="154"/>
      <c r="D173" s="154"/>
      <c r="H173" s="154"/>
      <c r="I173" s="154"/>
    </row>
    <row r="174" spans="1:14" x14ac:dyDescent="0.2">
      <c r="A174" s="154"/>
      <c r="B174" s="154"/>
      <c r="C174" s="154"/>
      <c r="D174" s="154"/>
      <c r="H174" s="154"/>
      <c r="I174" s="154"/>
    </row>
    <row r="175" spans="1:14" x14ac:dyDescent="0.2">
      <c r="A175" s="154"/>
      <c r="B175" s="154"/>
      <c r="C175" s="154"/>
      <c r="D175" s="154"/>
      <c r="H175" s="210"/>
      <c r="I175" s="210"/>
      <c r="J175" s="210"/>
      <c r="K175" s="210"/>
      <c r="L175" s="210"/>
      <c r="M175" s="210"/>
      <c r="N175" s="210"/>
    </row>
    <row r="176" spans="1:14" x14ac:dyDescent="0.2">
      <c r="A176" s="154"/>
      <c r="B176" s="154"/>
      <c r="C176" s="210"/>
      <c r="D176" s="210"/>
      <c r="E176" s="210"/>
      <c r="F176" s="210"/>
      <c r="G176" s="210"/>
      <c r="H176" s="154"/>
      <c r="I176" s="154"/>
    </row>
    <row r="177" spans="1:9" x14ac:dyDescent="0.2">
      <c r="A177" s="154"/>
      <c r="B177" s="154"/>
      <c r="C177" s="154"/>
      <c r="D177" s="154"/>
      <c r="H177" s="154"/>
      <c r="I177" s="154"/>
    </row>
    <row r="178" spans="1:9" x14ac:dyDescent="0.2">
      <c r="A178" s="154"/>
      <c r="B178" s="154"/>
      <c r="C178" s="154"/>
      <c r="D178" s="154"/>
      <c r="H178" s="154"/>
      <c r="I178" s="154"/>
    </row>
    <row r="179" spans="1:9" x14ac:dyDescent="0.2">
      <c r="A179" s="154"/>
      <c r="B179" s="154"/>
      <c r="C179" s="154"/>
      <c r="D179" s="154"/>
      <c r="H179" s="154"/>
      <c r="I179" s="154"/>
    </row>
    <row r="180" spans="1:9" x14ac:dyDescent="0.2">
      <c r="A180" s="154"/>
      <c r="B180" s="154"/>
      <c r="C180" s="154"/>
      <c r="D180" s="154"/>
      <c r="H180" s="154"/>
      <c r="I180" s="154"/>
    </row>
    <row r="181" spans="1:9" x14ac:dyDescent="0.2">
      <c r="A181" s="154"/>
      <c r="B181" s="154"/>
      <c r="C181" s="154"/>
      <c r="D181" s="154"/>
      <c r="H181" s="154"/>
      <c r="I181" s="154"/>
    </row>
    <row r="182" spans="1:9" x14ac:dyDescent="0.2">
      <c r="A182" s="154"/>
      <c r="B182" s="154"/>
      <c r="C182" s="154"/>
      <c r="D182" s="154"/>
      <c r="H182" s="154"/>
      <c r="I182" s="154"/>
    </row>
    <row r="183" spans="1:9" x14ac:dyDescent="0.2">
      <c r="A183" s="154"/>
      <c r="B183" s="154"/>
      <c r="C183" s="154"/>
      <c r="D183" s="154"/>
      <c r="H183" s="154"/>
      <c r="I183" s="154"/>
    </row>
    <row r="184" spans="1:9" x14ac:dyDescent="0.2">
      <c r="A184" s="154"/>
      <c r="B184" s="154"/>
      <c r="C184" s="154"/>
      <c r="D184" s="154"/>
      <c r="H184" s="154"/>
      <c r="I184" s="154"/>
    </row>
    <row r="185" spans="1:9" x14ac:dyDescent="0.2">
      <c r="A185" s="154"/>
      <c r="B185" s="154"/>
      <c r="C185" s="154"/>
      <c r="D185" s="154"/>
      <c r="H185" s="154"/>
      <c r="I185" s="154"/>
    </row>
    <row r="186" spans="1:9" x14ac:dyDescent="0.2">
      <c r="A186" s="154"/>
      <c r="B186" s="154"/>
      <c r="C186" s="154"/>
      <c r="D186" s="154"/>
      <c r="H186" s="154"/>
      <c r="I186" s="154"/>
    </row>
    <row r="187" spans="1:9" x14ac:dyDescent="0.2">
      <c r="A187" s="154"/>
      <c r="B187" s="154"/>
      <c r="C187" s="154"/>
      <c r="D187" s="154"/>
      <c r="E187" s="154"/>
      <c r="F187" s="154"/>
      <c r="G187" s="154"/>
      <c r="H187" s="154"/>
      <c r="I187" s="154"/>
    </row>
    <row r="188" spans="1:9" x14ac:dyDescent="0.2">
      <c r="A188" s="154"/>
      <c r="B188" s="154"/>
      <c r="C188" s="154"/>
      <c r="D188" s="154"/>
      <c r="E188" s="154"/>
      <c r="F188" s="154"/>
      <c r="G188" s="154"/>
      <c r="H188" s="154"/>
      <c r="I188" s="154"/>
    </row>
    <row r="189" spans="1:9" x14ac:dyDescent="0.2">
      <c r="A189" s="154"/>
      <c r="B189" s="154"/>
      <c r="C189" s="154"/>
      <c r="D189" s="154"/>
      <c r="E189" s="154"/>
      <c r="F189" s="154"/>
      <c r="G189" s="154"/>
      <c r="H189" s="154"/>
      <c r="I189" s="154"/>
    </row>
    <row r="190" spans="1:9" x14ac:dyDescent="0.2">
      <c r="A190" s="154"/>
      <c r="B190" s="154"/>
      <c r="C190" s="154"/>
      <c r="D190" s="154"/>
      <c r="E190" s="154"/>
      <c r="F190" s="154"/>
      <c r="G190" s="154"/>
      <c r="H190" s="154"/>
      <c r="I190" s="154"/>
    </row>
    <row r="191" spans="1:9" x14ac:dyDescent="0.2">
      <c r="A191" s="154"/>
      <c r="B191" s="154"/>
      <c r="C191" s="154"/>
      <c r="D191" s="154"/>
      <c r="E191" s="154"/>
      <c r="F191" s="154"/>
      <c r="G191" s="154"/>
      <c r="H191" s="154"/>
      <c r="I191" s="154"/>
    </row>
    <row r="192" spans="1:9" x14ac:dyDescent="0.2">
      <c r="A192" s="154"/>
      <c r="B192" s="154"/>
      <c r="C192" s="154"/>
      <c r="D192" s="154"/>
      <c r="E192" s="154"/>
      <c r="F192" s="154"/>
      <c r="G192" s="154"/>
      <c r="H192" s="154"/>
      <c r="I192" s="154"/>
    </row>
    <row r="193" spans="1:9" x14ac:dyDescent="0.2">
      <c r="A193" s="154"/>
      <c r="B193" s="154"/>
      <c r="C193" s="154"/>
      <c r="D193" s="154"/>
      <c r="E193" s="154"/>
      <c r="F193" s="154"/>
      <c r="G193" s="154"/>
      <c r="H193" s="154"/>
      <c r="I193" s="154"/>
    </row>
    <row r="194" spans="1:9" x14ac:dyDescent="0.2">
      <c r="A194" s="154"/>
      <c r="B194" s="154"/>
      <c r="C194" s="154"/>
      <c r="D194" s="154"/>
      <c r="E194" s="154"/>
      <c r="F194" s="154"/>
      <c r="G194" s="154"/>
      <c r="H194" s="154"/>
      <c r="I194" s="154"/>
    </row>
    <row r="195" spans="1:9" x14ac:dyDescent="0.2">
      <c r="A195" s="154"/>
      <c r="B195" s="154"/>
      <c r="C195" s="154"/>
      <c r="D195" s="154"/>
      <c r="E195" s="154"/>
      <c r="F195" s="154"/>
      <c r="G195" s="154"/>
      <c r="H195" s="154"/>
      <c r="I195" s="154"/>
    </row>
    <row r="196" spans="1:9" x14ac:dyDescent="0.2">
      <c r="A196" s="154"/>
      <c r="B196" s="154"/>
      <c r="C196" s="154"/>
      <c r="D196" s="154"/>
      <c r="E196" s="154"/>
      <c r="F196" s="154"/>
      <c r="G196" s="154"/>
      <c r="H196" s="154"/>
      <c r="I196" s="154"/>
    </row>
    <row r="197" spans="1:9" x14ac:dyDescent="0.2">
      <c r="A197" s="154"/>
      <c r="B197" s="154"/>
      <c r="C197" s="154"/>
      <c r="D197" s="154"/>
      <c r="E197" s="154"/>
      <c r="F197" s="154"/>
      <c r="G197" s="154"/>
      <c r="H197" s="154"/>
      <c r="I197" s="154"/>
    </row>
    <row r="198" spans="1:9" x14ac:dyDescent="0.2">
      <c r="A198" s="154"/>
      <c r="B198" s="154"/>
      <c r="C198" s="154"/>
      <c r="D198" s="154"/>
      <c r="E198" s="154"/>
      <c r="F198" s="154"/>
      <c r="G198" s="154"/>
      <c r="H198" s="154"/>
      <c r="I198" s="154"/>
    </row>
    <row r="199" spans="1:9" x14ac:dyDescent="0.2">
      <c r="A199" s="154"/>
      <c r="B199" s="154"/>
      <c r="C199" s="154"/>
      <c r="D199" s="154"/>
      <c r="E199" s="154"/>
      <c r="F199" s="154"/>
      <c r="G199" s="154"/>
      <c r="H199" s="154"/>
      <c r="I199" s="154"/>
    </row>
    <row r="200" spans="1:9" x14ac:dyDescent="0.2">
      <c r="A200" s="154"/>
      <c r="B200" s="154"/>
      <c r="C200" s="154"/>
      <c r="D200" s="154"/>
      <c r="E200" s="154"/>
      <c r="F200" s="154"/>
      <c r="G200" s="154"/>
      <c r="H200" s="154"/>
      <c r="I200" s="154"/>
    </row>
    <row r="201" spans="1:9" x14ac:dyDescent="0.2">
      <c r="A201" s="154"/>
      <c r="B201" s="154"/>
      <c r="C201" s="154"/>
      <c r="D201" s="154"/>
      <c r="E201" s="154"/>
      <c r="F201" s="154"/>
      <c r="G201" s="154"/>
      <c r="H201" s="154"/>
      <c r="I201" s="154"/>
    </row>
    <row r="202" spans="1:9" x14ac:dyDescent="0.2">
      <c r="A202" s="154"/>
      <c r="B202" s="154"/>
      <c r="C202" s="154"/>
      <c r="D202" s="154"/>
      <c r="E202" s="154"/>
      <c r="F202" s="154"/>
      <c r="G202" s="154"/>
      <c r="H202" s="154"/>
      <c r="I202" s="154"/>
    </row>
    <row r="203" spans="1:9" x14ac:dyDescent="0.2">
      <c r="A203" s="154"/>
      <c r="B203" s="154"/>
      <c r="C203" s="154"/>
      <c r="D203" s="154"/>
      <c r="E203" s="154"/>
      <c r="F203" s="154"/>
      <c r="G203" s="154"/>
      <c r="H203" s="154"/>
      <c r="I203" s="154"/>
    </row>
    <row r="204" spans="1:9" x14ac:dyDescent="0.2">
      <c r="A204" s="154"/>
      <c r="B204" s="154"/>
      <c r="C204" s="154"/>
      <c r="D204" s="154"/>
      <c r="E204" s="154"/>
      <c r="F204" s="154"/>
      <c r="G204" s="154"/>
      <c r="H204" s="154"/>
      <c r="I204" s="154"/>
    </row>
    <row r="205" spans="1:9" x14ac:dyDescent="0.2">
      <c r="A205" s="154"/>
      <c r="B205" s="154"/>
      <c r="C205" s="154"/>
      <c r="D205" s="154"/>
      <c r="E205" s="154"/>
      <c r="F205" s="154"/>
      <c r="G205" s="154"/>
      <c r="H205" s="154"/>
      <c r="I205" s="154"/>
    </row>
    <row r="206" spans="1:9" x14ac:dyDescent="0.2">
      <c r="A206" s="154"/>
      <c r="B206" s="154"/>
      <c r="C206" s="154"/>
      <c r="D206" s="154"/>
      <c r="E206" s="154"/>
      <c r="F206" s="154"/>
      <c r="G206" s="154"/>
      <c r="H206" s="154"/>
      <c r="I206" s="154"/>
    </row>
    <row r="207" spans="1:9" x14ac:dyDescent="0.2">
      <c r="A207" s="154"/>
      <c r="B207" s="154"/>
      <c r="C207" s="154"/>
      <c r="D207" s="154"/>
      <c r="E207" s="154"/>
      <c r="F207" s="154"/>
      <c r="G207" s="154"/>
      <c r="H207" s="154"/>
      <c r="I207" s="154"/>
    </row>
    <row r="208" spans="1:9" x14ac:dyDescent="0.2">
      <c r="A208" s="154"/>
      <c r="B208" s="154"/>
      <c r="C208" s="154"/>
      <c r="D208" s="154"/>
      <c r="E208" s="154"/>
      <c r="F208" s="154"/>
      <c r="G208" s="154"/>
      <c r="H208" s="154"/>
      <c r="I208" s="154"/>
    </row>
    <row r="209" spans="1:9" x14ac:dyDescent="0.2">
      <c r="A209" s="154"/>
      <c r="B209" s="154"/>
      <c r="C209" s="154"/>
      <c r="D209" s="154"/>
      <c r="E209" s="154"/>
      <c r="F209" s="154"/>
      <c r="G209" s="154"/>
      <c r="H209" s="154"/>
      <c r="I209" s="154"/>
    </row>
    <row r="210" spans="1:9" x14ac:dyDescent="0.2">
      <c r="A210" s="154"/>
      <c r="B210" s="154"/>
      <c r="C210" s="154"/>
      <c r="D210" s="154"/>
      <c r="E210" s="154"/>
      <c r="F210" s="154"/>
      <c r="G210" s="154"/>
      <c r="H210" s="154"/>
      <c r="I210" s="154"/>
    </row>
    <row r="211" spans="1:9" x14ac:dyDescent="0.2">
      <c r="A211" s="154"/>
      <c r="B211" s="154"/>
      <c r="C211" s="154"/>
      <c r="D211" s="154"/>
      <c r="E211" s="154"/>
      <c r="F211" s="154"/>
      <c r="G211" s="154"/>
      <c r="H211" s="154"/>
      <c r="I211" s="154"/>
    </row>
    <row r="212" spans="1:9" x14ac:dyDescent="0.2">
      <c r="A212" s="154"/>
      <c r="B212" s="154"/>
      <c r="C212" s="154"/>
      <c r="D212" s="154"/>
      <c r="E212" s="154"/>
      <c r="F212" s="154"/>
      <c r="G212" s="154"/>
      <c r="H212" s="154"/>
      <c r="I212" s="154"/>
    </row>
    <row r="213" spans="1:9" x14ac:dyDescent="0.2">
      <c r="A213" s="154"/>
      <c r="B213" s="154"/>
      <c r="C213" s="154"/>
      <c r="D213" s="154"/>
      <c r="E213" s="154"/>
      <c r="F213" s="154"/>
      <c r="G213" s="154"/>
      <c r="H213" s="154"/>
      <c r="I213" s="154"/>
    </row>
    <row r="214" spans="1:9" x14ac:dyDescent="0.2">
      <c r="A214" s="154"/>
      <c r="B214" s="154"/>
      <c r="C214" s="154"/>
      <c r="D214" s="154"/>
      <c r="E214" s="154"/>
      <c r="F214" s="154"/>
      <c r="G214" s="154"/>
      <c r="H214" s="154"/>
      <c r="I214" s="154"/>
    </row>
    <row r="215" spans="1:9" x14ac:dyDescent="0.2">
      <c r="A215" s="154"/>
      <c r="B215" s="154"/>
      <c r="C215" s="154"/>
      <c r="D215" s="154"/>
      <c r="E215" s="154"/>
      <c r="F215" s="154"/>
      <c r="G215" s="154"/>
      <c r="H215" s="154"/>
      <c r="I215" s="154"/>
    </row>
    <row r="216" spans="1:9" x14ac:dyDescent="0.2">
      <c r="A216" s="154"/>
      <c r="B216" s="154"/>
      <c r="C216" s="154"/>
      <c r="D216" s="154"/>
      <c r="E216" s="154"/>
      <c r="F216" s="154"/>
      <c r="G216" s="154"/>
      <c r="H216" s="154"/>
      <c r="I216" s="154"/>
    </row>
    <row r="217" spans="1:9" x14ac:dyDescent="0.2">
      <c r="A217" s="154"/>
      <c r="B217" s="154"/>
      <c r="C217" s="154"/>
      <c r="D217" s="154"/>
      <c r="E217" s="154"/>
      <c r="F217" s="154"/>
      <c r="G217" s="154"/>
      <c r="H217" s="154"/>
      <c r="I217" s="154"/>
    </row>
    <row r="218" spans="1:9" x14ac:dyDescent="0.2">
      <c r="A218" s="154"/>
      <c r="B218" s="154"/>
      <c r="C218" s="154"/>
      <c r="D218" s="154"/>
      <c r="E218" s="154"/>
      <c r="F218" s="154"/>
      <c r="G218" s="154"/>
      <c r="H218" s="154"/>
      <c r="I218" s="154"/>
    </row>
    <row r="219" spans="1:9" x14ac:dyDescent="0.2">
      <c r="A219" s="154"/>
      <c r="B219" s="154"/>
      <c r="C219" s="154"/>
      <c r="D219" s="154"/>
      <c r="E219" s="154"/>
      <c r="F219" s="154"/>
      <c r="G219" s="154"/>
      <c r="H219" s="154"/>
      <c r="I219" s="154"/>
    </row>
    <row r="220" spans="1:9" x14ac:dyDescent="0.2">
      <c r="A220" s="154"/>
      <c r="B220" s="154"/>
      <c r="C220" s="154"/>
      <c r="D220" s="154"/>
      <c r="E220" s="154"/>
      <c r="F220" s="154"/>
      <c r="G220" s="154"/>
      <c r="H220" s="154"/>
      <c r="I220" s="154"/>
    </row>
    <row r="221" spans="1:9" x14ac:dyDescent="0.2">
      <c r="A221" s="154"/>
      <c r="B221" s="154"/>
      <c r="C221" s="154"/>
      <c r="D221" s="154"/>
      <c r="E221" s="154"/>
      <c r="F221" s="154"/>
      <c r="G221" s="154"/>
      <c r="H221" s="154"/>
      <c r="I221" s="154"/>
    </row>
    <row r="222" spans="1:9" x14ac:dyDescent="0.2">
      <c r="A222" s="154"/>
      <c r="B222" s="154"/>
      <c r="C222" s="154"/>
      <c r="D222" s="154"/>
      <c r="E222" s="154"/>
      <c r="F222" s="154"/>
      <c r="G222" s="154"/>
      <c r="H222" s="154"/>
      <c r="I222" s="154"/>
    </row>
    <row r="223" spans="1:9" x14ac:dyDescent="0.2">
      <c r="A223" s="154"/>
      <c r="B223" s="154"/>
      <c r="C223" s="154"/>
      <c r="D223" s="154"/>
      <c r="E223" s="154"/>
      <c r="F223" s="154"/>
      <c r="G223" s="154"/>
      <c r="H223" s="154"/>
      <c r="I223" s="154"/>
    </row>
    <row r="224" spans="1:9" x14ac:dyDescent="0.2">
      <c r="A224" s="154"/>
      <c r="B224" s="154"/>
      <c r="C224" s="154"/>
      <c r="D224" s="154"/>
      <c r="E224" s="154"/>
      <c r="F224" s="154"/>
      <c r="G224" s="154"/>
      <c r="H224" s="154"/>
      <c r="I224" s="154"/>
    </row>
    <row r="225" spans="1:9" x14ac:dyDescent="0.2">
      <c r="A225" s="154"/>
      <c r="B225" s="154"/>
      <c r="C225" s="154"/>
      <c r="D225" s="154"/>
      <c r="E225" s="154"/>
      <c r="F225" s="154"/>
      <c r="G225" s="154"/>
      <c r="H225" s="154"/>
      <c r="I225" s="154"/>
    </row>
    <row r="226" spans="1:9" x14ac:dyDescent="0.2">
      <c r="A226" s="154"/>
      <c r="B226" s="154"/>
      <c r="C226" s="154"/>
      <c r="D226" s="154"/>
      <c r="E226" s="154"/>
      <c r="F226" s="154"/>
      <c r="G226" s="154"/>
      <c r="H226" s="154"/>
      <c r="I226" s="154"/>
    </row>
    <row r="227" spans="1:9" x14ac:dyDescent="0.2">
      <c r="A227" s="154"/>
      <c r="B227" s="154"/>
      <c r="C227" s="154"/>
      <c r="D227" s="154"/>
      <c r="E227" s="154"/>
      <c r="F227" s="154"/>
      <c r="G227" s="154"/>
      <c r="H227" s="154"/>
      <c r="I227" s="154"/>
    </row>
    <row r="228" spans="1:9" x14ac:dyDescent="0.2">
      <c r="A228" s="154"/>
      <c r="B228" s="154"/>
      <c r="C228" s="154"/>
      <c r="D228" s="154"/>
      <c r="E228" s="154"/>
      <c r="F228" s="154"/>
      <c r="G228" s="154"/>
      <c r="H228" s="154"/>
      <c r="I228" s="154"/>
    </row>
    <row r="229" spans="1:9" x14ac:dyDescent="0.2">
      <c r="A229" s="154"/>
      <c r="B229" s="154"/>
      <c r="C229" s="154"/>
      <c r="D229" s="154"/>
      <c r="E229" s="154"/>
      <c r="F229" s="154"/>
      <c r="G229" s="154"/>
      <c r="H229" s="154"/>
      <c r="I229" s="154"/>
    </row>
    <row r="230" spans="1:9" x14ac:dyDescent="0.2">
      <c r="A230" s="154"/>
      <c r="B230" s="154"/>
      <c r="C230" s="154"/>
      <c r="D230" s="154"/>
      <c r="E230" s="154"/>
      <c r="F230" s="154"/>
      <c r="G230" s="154"/>
      <c r="H230" s="154"/>
      <c r="I230" s="154"/>
    </row>
    <row r="231" spans="1:9" x14ac:dyDescent="0.2">
      <c r="A231" s="154"/>
      <c r="B231" s="154"/>
      <c r="C231" s="154"/>
      <c r="D231" s="154"/>
      <c r="E231" s="154"/>
      <c r="F231" s="154"/>
      <c r="G231" s="154"/>
      <c r="H231" s="154"/>
      <c r="I231" s="154"/>
    </row>
    <row r="232" spans="1:9" x14ac:dyDescent="0.2">
      <c r="A232" s="154"/>
      <c r="B232" s="154"/>
      <c r="C232" s="154"/>
      <c r="D232" s="154"/>
      <c r="E232" s="154"/>
      <c r="F232" s="154"/>
      <c r="G232" s="154"/>
      <c r="H232" s="154"/>
      <c r="I232" s="154"/>
    </row>
    <row r="233" spans="1:9" x14ac:dyDescent="0.2">
      <c r="A233" s="154"/>
      <c r="B233" s="154"/>
      <c r="C233" s="154"/>
      <c r="D233" s="154"/>
      <c r="E233" s="154"/>
      <c r="F233" s="154"/>
      <c r="G233" s="154"/>
      <c r="H233" s="154"/>
      <c r="I233" s="154"/>
    </row>
    <row r="234" spans="1:9" x14ac:dyDescent="0.2">
      <c r="A234" s="154"/>
      <c r="B234" s="154"/>
      <c r="C234" s="154"/>
      <c r="D234" s="154"/>
      <c r="E234" s="154"/>
      <c r="F234" s="154"/>
      <c r="G234" s="154"/>
      <c r="H234" s="154"/>
      <c r="I234" s="154"/>
    </row>
    <row r="235" spans="1:9" x14ac:dyDescent="0.2">
      <c r="A235" s="154"/>
      <c r="B235" s="154"/>
      <c r="C235" s="154"/>
      <c r="D235" s="154"/>
      <c r="E235" s="154"/>
      <c r="F235" s="154"/>
      <c r="G235" s="154"/>
      <c r="H235" s="154"/>
      <c r="I235" s="154"/>
    </row>
    <row r="236" spans="1:9" x14ac:dyDescent="0.2">
      <c r="A236" s="154"/>
      <c r="B236" s="154"/>
      <c r="C236" s="154"/>
      <c r="D236" s="154"/>
      <c r="E236" s="154"/>
      <c r="F236" s="154"/>
      <c r="G236" s="154"/>
      <c r="H236" s="154"/>
      <c r="I236" s="154"/>
    </row>
    <row r="237" spans="1:9" x14ac:dyDescent="0.2">
      <c r="A237" s="154"/>
      <c r="B237" s="154"/>
      <c r="C237" s="154"/>
      <c r="D237" s="154"/>
      <c r="E237" s="154"/>
      <c r="F237" s="154"/>
      <c r="G237" s="154"/>
      <c r="H237" s="154"/>
      <c r="I237" s="154"/>
    </row>
    <row r="238" spans="1:9" x14ac:dyDescent="0.2">
      <c r="A238" s="154"/>
      <c r="B238" s="154"/>
      <c r="C238" s="154"/>
      <c r="D238" s="154"/>
      <c r="E238" s="154"/>
      <c r="F238" s="154"/>
      <c r="G238" s="154"/>
      <c r="H238" s="154"/>
      <c r="I238" s="154"/>
    </row>
    <row r="239" spans="1:9" x14ac:dyDescent="0.2">
      <c r="A239" s="154"/>
      <c r="B239" s="154"/>
      <c r="C239" s="154"/>
      <c r="D239" s="154"/>
      <c r="E239" s="154"/>
      <c r="F239" s="154"/>
      <c r="G239" s="154"/>
      <c r="H239" s="154"/>
      <c r="I239" s="154"/>
    </row>
    <row r="240" spans="1:9" x14ac:dyDescent="0.2">
      <c r="A240" s="154"/>
      <c r="B240" s="154"/>
      <c r="C240" s="154"/>
      <c r="D240" s="154"/>
      <c r="E240" s="154"/>
      <c r="F240" s="154"/>
      <c r="G240" s="154"/>
      <c r="H240" s="154"/>
      <c r="I240" s="154"/>
    </row>
    <row r="241" spans="1:9" x14ac:dyDescent="0.2">
      <c r="A241" s="154"/>
      <c r="B241" s="154"/>
      <c r="C241" s="154"/>
      <c r="D241" s="154"/>
      <c r="E241" s="154"/>
      <c r="F241" s="154"/>
      <c r="G241" s="154"/>
      <c r="H241" s="154"/>
      <c r="I241" s="154"/>
    </row>
    <row r="242" spans="1:9" x14ac:dyDescent="0.2">
      <c r="A242" s="154"/>
      <c r="B242" s="154"/>
      <c r="C242" s="154"/>
      <c r="D242" s="154"/>
      <c r="E242" s="154"/>
      <c r="F242" s="154"/>
      <c r="G242" s="154"/>
      <c r="H242" s="154"/>
      <c r="I242" s="154"/>
    </row>
    <row r="243" spans="1:9" x14ac:dyDescent="0.2">
      <c r="A243" s="154"/>
      <c r="B243" s="154"/>
      <c r="C243" s="154"/>
      <c r="D243" s="154"/>
      <c r="E243" s="154"/>
      <c r="F243" s="154"/>
      <c r="G243" s="154"/>
      <c r="H243" s="154"/>
      <c r="I243" s="154"/>
    </row>
    <row r="244" spans="1:9" x14ac:dyDescent="0.2">
      <c r="A244" s="154"/>
      <c r="B244" s="154"/>
      <c r="C244" s="154"/>
      <c r="D244" s="154"/>
      <c r="E244" s="154"/>
      <c r="F244" s="154"/>
      <c r="G244" s="154"/>
      <c r="H244" s="154"/>
      <c r="I244" s="154"/>
    </row>
    <row r="245" spans="1:9" x14ac:dyDescent="0.2">
      <c r="A245" s="154"/>
      <c r="B245" s="154"/>
      <c r="C245" s="154"/>
      <c r="D245" s="154"/>
      <c r="E245" s="154"/>
      <c r="F245" s="154"/>
      <c r="G245" s="154"/>
      <c r="H245" s="154"/>
      <c r="I245" s="154"/>
    </row>
    <row r="246" spans="1:9" x14ac:dyDescent="0.2">
      <c r="A246" s="154"/>
      <c r="B246" s="154"/>
      <c r="C246" s="154"/>
      <c r="D246" s="154"/>
      <c r="E246" s="154"/>
      <c r="F246" s="154"/>
      <c r="G246" s="154"/>
      <c r="H246" s="154"/>
      <c r="I246" s="154"/>
    </row>
    <row r="247" spans="1:9" x14ac:dyDescent="0.2">
      <c r="A247" s="154"/>
      <c r="B247" s="154"/>
      <c r="C247" s="154"/>
      <c r="D247" s="154"/>
      <c r="E247" s="154"/>
      <c r="F247" s="154"/>
      <c r="G247" s="154"/>
      <c r="H247" s="154"/>
      <c r="I247" s="154"/>
    </row>
    <row r="248" spans="1:9" x14ac:dyDescent="0.2">
      <c r="A248" s="154"/>
      <c r="B248" s="154"/>
      <c r="C248" s="154"/>
      <c r="D248" s="154"/>
      <c r="E248" s="154"/>
      <c r="F248" s="154"/>
      <c r="G248" s="154"/>
      <c r="H248" s="154"/>
      <c r="I248" s="154"/>
    </row>
    <row r="249" spans="1:9" x14ac:dyDescent="0.2">
      <c r="A249" s="154"/>
      <c r="B249" s="154"/>
      <c r="C249" s="154"/>
      <c r="D249" s="154"/>
      <c r="E249" s="154"/>
      <c r="F249" s="154"/>
      <c r="G249" s="154"/>
      <c r="H249" s="154"/>
      <c r="I249" s="154"/>
    </row>
    <row r="250" spans="1:9" x14ac:dyDescent="0.2">
      <c r="A250" s="154"/>
      <c r="B250" s="154"/>
      <c r="C250" s="154"/>
      <c r="D250" s="154"/>
      <c r="E250" s="154"/>
      <c r="F250" s="154"/>
      <c r="G250" s="154"/>
      <c r="H250" s="154"/>
      <c r="I250" s="154"/>
    </row>
    <row r="251" spans="1:9" x14ac:dyDescent="0.2">
      <c r="A251" s="154"/>
      <c r="B251" s="154"/>
      <c r="C251" s="154"/>
      <c r="D251" s="154"/>
      <c r="E251" s="154"/>
      <c r="F251" s="154"/>
      <c r="G251" s="154"/>
      <c r="H251" s="154"/>
      <c r="I251" s="154"/>
    </row>
    <row r="252" spans="1:9" x14ac:dyDescent="0.2">
      <c r="A252" s="154"/>
      <c r="B252" s="154"/>
      <c r="C252" s="154"/>
      <c r="D252" s="154"/>
      <c r="E252" s="154"/>
      <c r="F252" s="154"/>
      <c r="G252" s="154"/>
      <c r="H252" s="154"/>
      <c r="I252" s="154"/>
    </row>
    <row r="253" spans="1:9" x14ac:dyDescent="0.2">
      <c r="A253" s="154"/>
      <c r="B253" s="154"/>
      <c r="C253" s="154"/>
      <c r="D253" s="154"/>
      <c r="E253" s="154"/>
      <c r="F253" s="154"/>
      <c r="G253" s="154"/>
      <c r="H253" s="154"/>
      <c r="I253" s="154"/>
    </row>
    <row r="254" spans="1:9" x14ac:dyDescent="0.2">
      <c r="A254" s="154"/>
      <c r="B254" s="154"/>
      <c r="C254" s="154"/>
      <c r="D254" s="154"/>
      <c r="E254" s="154"/>
      <c r="F254" s="154"/>
      <c r="G254" s="154"/>
      <c r="H254" s="154"/>
      <c r="I254" s="154"/>
    </row>
    <row r="255" spans="1:9" x14ac:dyDescent="0.2">
      <c r="A255" s="154"/>
      <c r="B255" s="154"/>
      <c r="C255" s="154"/>
      <c r="D255" s="154"/>
      <c r="E255" s="154"/>
      <c r="F255" s="154"/>
      <c r="G255" s="154"/>
      <c r="H255" s="154"/>
      <c r="I255" s="154"/>
    </row>
    <row r="256" spans="1:9" x14ac:dyDescent="0.2">
      <c r="A256" s="154"/>
      <c r="B256" s="154"/>
      <c r="C256" s="154"/>
      <c r="D256" s="154"/>
      <c r="E256" s="154"/>
      <c r="F256" s="154"/>
      <c r="G256" s="154"/>
      <c r="H256" s="154"/>
      <c r="I256" s="154"/>
    </row>
    <row r="257" spans="1:9" x14ac:dyDescent="0.2">
      <c r="A257" s="154"/>
      <c r="B257" s="154"/>
      <c r="C257" s="154"/>
      <c r="D257" s="154"/>
      <c r="E257" s="154"/>
      <c r="F257" s="154"/>
      <c r="G257" s="154"/>
      <c r="H257" s="154"/>
      <c r="I257" s="154"/>
    </row>
    <row r="258" spans="1:9" x14ac:dyDescent="0.2">
      <c r="A258" s="154"/>
      <c r="B258" s="154"/>
      <c r="C258" s="154"/>
      <c r="D258" s="154"/>
      <c r="E258" s="154"/>
      <c r="F258" s="154"/>
      <c r="G258" s="154"/>
      <c r="H258" s="154"/>
      <c r="I258" s="154"/>
    </row>
    <row r="259" spans="1:9" x14ac:dyDescent="0.2">
      <c r="A259" s="154"/>
      <c r="B259" s="154"/>
      <c r="C259" s="154"/>
      <c r="D259" s="154"/>
      <c r="E259" s="154"/>
      <c r="F259" s="154"/>
      <c r="G259" s="154"/>
      <c r="H259" s="154"/>
      <c r="I259" s="154"/>
    </row>
    <row r="260" spans="1:9" x14ac:dyDescent="0.2">
      <c r="A260" s="154"/>
      <c r="B260" s="154"/>
      <c r="C260" s="154"/>
      <c r="D260" s="154"/>
      <c r="E260" s="154"/>
      <c r="F260" s="154"/>
      <c r="G260" s="154"/>
      <c r="H260" s="154"/>
      <c r="I260" s="154"/>
    </row>
    <row r="261" spans="1:9" x14ac:dyDescent="0.2">
      <c r="A261" s="154"/>
      <c r="B261" s="154"/>
      <c r="C261" s="154"/>
      <c r="D261" s="154"/>
      <c r="E261" s="154"/>
      <c r="F261" s="154"/>
      <c r="G261" s="154"/>
      <c r="H261" s="154"/>
      <c r="I261" s="154"/>
    </row>
    <row r="262" spans="1:9" x14ac:dyDescent="0.2">
      <c r="A262" s="154"/>
      <c r="B262" s="154"/>
      <c r="C262" s="154"/>
      <c r="D262" s="154"/>
      <c r="E262" s="154"/>
      <c r="F262" s="154"/>
      <c r="G262" s="154"/>
      <c r="H262" s="154"/>
      <c r="I262" s="154"/>
    </row>
    <row r="263" spans="1:9" x14ac:dyDescent="0.2">
      <c r="A263" s="154"/>
      <c r="B263" s="154"/>
      <c r="C263" s="154"/>
      <c r="D263" s="154"/>
      <c r="E263" s="154"/>
      <c r="F263" s="154"/>
      <c r="G263" s="154"/>
      <c r="H263" s="154"/>
      <c r="I263" s="154"/>
    </row>
    <row r="264" spans="1:9" x14ac:dyDescent="0.2">
      <c r="A264" s="154"/>
      <c r="B264" s="154"/>
      <c r="C264" s="154"/>
      <c r="D264" s="154"/>
      <c r="E264" s="154"/>
      <c r="F264" s="154"/>
      <c r="G264" s="154"/>
      <c r="H264" s="154"/>
      <c r="I264" s="154"/>
    </row>
    <row r="265" spans="1:9" x14ac:dyDescent="0.2">
      <c r="A265" s="154"/>
      <c r="B265" s="154"/>
      <c r="C265" s="154"/>
      <c r="D265" s="154"/>
      <c r="E265" s="154"/>
      <c r="F265" s="154"/>
      <c r="G265" s="154"/>
      <c r="H265" s="154"/>
      <c r="I265" s="154"/>
    </row>
    <row r="266" spans="1:9" x14ac:dyDescent="0.2">
      <c r="A266" s="154"/>
      <c r="B266" s="154"/>
      <c r="C266" s="154"/>
      <c r="D266" s="154"/>
      <c r="E266" s="154"/>
      <c r="F266" s="154"/>
      <c r="G266" s="154"/>
      <c r="H266" s="154"/>
      <c r="I266" s="154"/>
    </row>
    <row r="267" spans="1:9" x14ac:dyDescent="0.2">
      <c r="A267" s="154"/>
      <c r="B267" s="154"/>
      <c r="C267" s="154"/>
      <c r="D267" s="154"/>
      <c r="E267" s="154"/>
      <c r="F267" s="154"/>
      <c r="G267" s="154"/>
      <c r="H267" s="154"/>
      <c r="I267" s="154"/>
    </row>
    <row r="268" spans="1:9" x14ac:dyDescent="0.2">
      <c r="A268" s="154"/>
      <c r="B268" s="154"/>
      <c r="C268" s="154"/>
      <c r="D268" s="154"/>
      <c r="E268" s="154"/>
      <c r="F268" s="154"/>
      <c r="G268" s="154"/>
      <c r="H268" s="154"/>
      <c r="I268" s="154"/>
    </row>
    <row r="269" spans="1:9" x14ac:dyDescent="0.2">
      <c r="A269" s="154"/>
      <c r="B269" s="154"/>
      <c r="C269" s="154"/>
      <c r="D269" s="154"/>
      <c r="E269" s="154"/>
      <c r="F269" s="154"/>
      <c r="G269" s="154"/>
      <c r="H269" s="154"/>
      <c r="I269" s="154"/>
    </row>
    <row r="270" spans="1:9" x14ac:dyDescent="0.2">
      <c r="A270" s="154"/>
      <c r="B270" s="154"/>
      <c r="C270" s="154"/>
      <c r="D270" s="154"/>
      <c r="E270" s="154"/>
      <c r="F270" s="154"/>
      <c r="G270" s="154"/>
      <c r="H270" s="154"/>
      <c r="I270" s="154"/>
    </row>
    <row r="271" spans="1:9" x14ac:dyDescent="0.2">
      <c r="A271" s="154"/>
      <c r="B271" s="154"/>
      <c r="C271" s="154"/>
      <c r="D271" s="154"/>
      <c r="E271" s="154"/>
      <c r="F271" s="154"/>
      <c r="G271" s="154"/>
      <c r="H271" s="154"/>
      <c r="I271" s="154"/>
    </row>
    <row r="272" spans="1:9" x14ac:dyDescent="0.2">
      <c r="A272" s="154"/>
      <c r="B272" s="154"/>
      <c r="C272" s="154"/>
      <c r="D272" s="154"/>
      <c r="E272" s="154"/>
      <c r="F272" s="154"/>
      <c r="G272" s="154"/>
      <c r="H272" s="154"/>
      <c r="I272" s="154"/>
    </row>
    <row r="273" spans="1:9" x14ac:dyDescent="0.2">
      <c r="A273" s="154"/>
      <c r="B273" s="154"/>
      <c r="C273" s="154"/>
      <c r="D273" s="154"/>
      <c r="E273" s="154"/>
      <c r="F273" s="154"/>
      <c r="G273" s="154"/>
      <c r="H273" s="154"/>
      <c r="I273" s="154"/>
    </row>
    <row r="274" spans="1:9" x14ac:dyDescent="0.2">
      <c r="A274" s="154"/>
      <c r="B274" s="154"/>
      <c r="C274" s="154"/>
      <c r="D274" s="154"/>
      <c r="E274" s="154"/>
      <c r="F274" s="154"/>
      <c r="G274" s="154"/>
      <c r="H274" s="154"/>
      <c r="I274" s="154"/>
    </row>
    <row r="275" spans="1:9" x14ac:dyDescent="0.2">
      <c r="A275" s="154"/>
      <c r="B275" s="154"/>
      <c r="C275" s="154"/>
      <c r="D275" s="154"/>
      <c r="E275" s="154"/>
      <c r="F275" s="154"/>
      <c r="G275" s="154"/>
      <c r="H275" s="154"/>
      <c r="I275" s="154"/>
    </row>
    <row r="276" spans="1:9" x14ac:dyDescent="0.2">
      <c r="A276" s="154"/>
      <c r="B276" s="154"/>
      <c r="C276" s="154"/>
      <c r="D276" s="154"/>
      <c r="E276" s="154"/>
      <c r="F276" s="154"/>
      <c r="G276" s="154"/>
      <c r="H276" s="154"/>
      <c r="I276" s="154"/>
    </row>
    <row r="277" spans="1:9" x14ac:dyDescent="0.2">
      <c r="A277" s="154"/>
      <c r="B277" s="154"/>
      <c r="C277" s="154"/>
      <c r="D277" s="154"/>
      <c r="E277" s="154"/>
      <c r="F277" s="154"/>
      <c r="G277" s="154"/>
      <c r="H277" s="154"/>
      <c r="I277" s="154"/>
    </row>
    <row r="278" spans="1:9" x14ac:dyDescent="0.2">
      <c r="A278" s="154"/>
      <c r="B278" s="154"/>
      <c r="C278" s="154"/>
      <c r="D278" s="154"/>
      <c r="E278" s="154"/>
      <c r="F278" s="154"/>
      <c r="G278" s="154"/>
      <c r="H278" s="154"/>
      <c r="I278" s="154"/>
    </row>
    <row r="279" spans="1:9" x14ac:dyDescent="0.2">
      <c r="A279" s="154"/>
      <c r="B279" s="154"/>
      <c r="C279" s="154"/>
      <c r="D279" s="154"/>
      <c r="E279" s="154"/>
      <c r="F279" s="154"/>
      <c r="G279" s="154"/>
      <c r="H279" s="154"/>
      <c r="I279" s="154"/>
    </row>
    <row r="280" spans="1:9" x14ac:dyDescent="0.2">
      <c r="A280" s="154"/>
      <c r="B280" s="154"/>
      <c r="C280" s="154"/>
      <c r="D280" s="154"/>
      <c r="E280" s="154"/>
      <c r="F280" s="154"/>
      <c r="G280" s="154"/>
      <c r="H280" s="154"/>
      <c r="I280" s="154"/>
    </row>
    <row r="281" spans="1:9" x14ac:dyDescent="0.2">
      <c r="A281" s="154"/>
      <c r="B281" s="154"/>
      <c r="C281" s="154"/>
      <c r="D281" s="154"/>
      <c r="E281" s="154"/>
      <c r="F281" s="154"/>
      <c r="G281" s="154"/>
      <c r="H281" s="154"/>
      <c r="I281" s="154"/>
    </row>
    <row r="282" spans="1:9" x14ac:dyDescent="0.2">
      <c r="A282" s="154"/>
      <c r="B282" s="154"/>
      <c r="C282" s="154"/>
      <c r="D282" s="154"/>
      <c r="E282" s="154"/>
      <c r="F282" s="154"/>
      <c r="G282" s="154"/>
      <c r="H282" s="154"/>
      <c r="I282" s="154"/>
    </row>
    <row r="283" spans="1:9" x14ac:dyDescent="0.2">
      <c r="A283" s="154"/>
      <c r="B283" s="154"/>
      <c r="C283" s="154"/>
      <c r="D283" s="154"/>
      <c r="E283" s="154"/>
      <c r="F283" s="154"/>
      <c r="G283" s="154"/>
      <c r="H283" s="154"/>
      <c r="I283" s="154"/>
    </row>
    <row r="284" spans="1:9" x14ac:dyDescent="0.2">
      <c r="A284" s="154"/>
      <c r="B284" s="154"/>
      <c r="C284" s="154"/>
      <c r="D284" s="154"/>
      <c r="E284" s="154"/>
      <c r="F284" s="154"/>
      <c r="G284" s="154"/>
      <c r="H284" s="154"/>
      <c r="I284" s="154"/>
    </row>
    <row r="285" spans="1:9" x14ac:dyDescent="0.2">
      <c r="A285" s="154"/>
      <c r="B285" s="154"/>
      <c r="C285" s="154"/>
      <c r="D285" s="154"/>
      <c r="E285" s="154"/>
      <c r="F285" s="154"/>
      <c r="G285" s="154"/>
      <c r="H285" s="154"/>
      <c r="I285" s="154"/>
    </row>
    <row r="286" spans="1:9" x14ac:dyDescent="0.2">
      <c r="A286" s="154"/>
      <c r="B286" s="154"/>
      <c r="C286" s="154"/>
      <c r="D286" s="154"/>
      <c r="E286" s="154"/>
      <c r="F286" s="154"/>
      <c r="G286" s="154"/>
      <c r="H286" s="154"/>
      <c r="I286" s="154"/>
    </row>
    <row r="287" spans="1:9" x14ac:dyDescent="0.2">
      <c r="A287" s="154"/>
      <c r="B287" s="154"/>
      <c r="C287" s="154"/>
      <c r="D287" s="154"/>
      <c r="E287" s="154"/>
      <c r="F287" s="154"/>
      <c r="G287" s="154"/>
      <c r="H287" s="154"/>
      <c r="I287" s="154"/>
    </row>
    <row r="288" spans="1:9" x14ac:dyDescent="0.2">
      <c r="A288" s="154"/>
      <c r="B288" s="154"/>
      <c r="C288" s="154"/>
      <c r="D288" s="154"/>
      <c r="E288" s="154"/>
      <c r="F288" s="154"/>
      <c r="G288" s="154"/>
      <c r="H288" s="154"/>
      <c r="I288" s="154"/>
    </row>
    <row r="289" spans="1:9" x14ac:dyDescent="0.2">
      <c r="A289" s="154"/>
      <c r="B289" s="154"/>
      <c r="C289" s="154"/>
      <c r="D289" s="154"/>
      <c r="E289" s="154"/>
      <c r="F289" s="154"/>
      <c r="G289" s="154"/>
      <c r="H289" s="154"/>
      <c r="I289" s="154"/>
    </row>
    <row r="290" spans="1:9" x14ac:dyDescent="0.2">
      <c r="A290" s="154"/>
      <c r="B290" s="154"/>
      <c r="C290" s="154"/>
      <c r="D290" s="154"/>
      <c r="E290" s="154"/>
      <c r="F290" s="154"/>
      <c r="G290" s="154"/>
      <c r="H290" s="154"/>
      <c r="I290" s="154"/>
    </row>
    <row r="291" spans="1:9" x14ac:dyDescent="0.2">
      <c r="G291" s="154"/>
      <c r="H291" s="154"/>
      <c r="I291" s="154"/>
    </row>
    <row r="292" spans="1:9" x14ac:dyDescent="0.2">
      <c r="G292" s="154"/>
    </row>
  </sheetData>
  <dataConsolidate/>
  <mergeCells count="17">
    <mergeCell ref="A6:B6"/>
    <mergeCell ref="B2:C2"/>
    <mergeCell ref="A51:A52"/>
    <mergeCell ref="J11:L11"/>
    <mergeCell ref="A36:B36"/>
    <mergeCell ref="D1:E1"/>
    <mergeCell ref="C8:D8"/>
    <mergeCell ref="E8:F8"/>
    <mergeCell ref="O62:P62"/>
    <mergeCell ref="K62:K63"/>
    <mergeCell ref="L62:N62"/>
    <mergeCell ref="F11:I11"/>
    <mergeCell ref="C35:F35"/>
    <mergeCell ref="I35:J35"/>
    <mergeCell ref="K35:L35"/>
    <mergeCell ref="I34:L34"/>
    <mergeCell ref="K57:L57"/>
  </mergeCells>
  <pageMargins left="0.7" right="0.7" top="0.75" bottom="0.75" header="0.3" footer="0.3"/>
  <pageSetup paperSize="9" orientation="portrait" r:id="rId1"/>
  <ignoredErrors>
    <ignoredError sqref="I18" calculatedColumn="1"/>
  </ignoredErrors>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AL91"/>
  <sheetViews>
    <sheetView topLeftCell="A31" zoomScaleNormal="100" workbookViewId="0">
      <selection activeCell="D50" sqref="D50"/>
    </sheetView>
  </sheetViews>
  <sheetFormatPr defaultRowHeight="15" x14ac:dyDescent="0.25"/>
  <cols>
    <col min="1" max="1" width="27" style="298" customWidth="1"/>
    <col min="2" max="2" width="15.42578125" style="298" customWidth="1"/>
    <col min="3" max="3" width="37" style="298" customWidth="1"/>
    <col min="4" max="4" width="23.28515625" style="298" customWidth="1"/>
    <col min="5" max="5" width="14.5703125" style="298" customWidth="1"/>
    <col min="6" max="6" width="14" style="298" customWidth="1"/>
    <col min="7" max="8" width="13.5703125" style="298" bestFit="1" customWidth="1"/>
    <col min="9" max="12" width="13.5703125" style="298" customWidth="1"/>
    <col min="13" max="34" width="13.5703125" style="298" bestFit="1" customWidth="1"/>
    <col min="35" max="16384" width="9.140625" style="298"/>
  </cols>
  <sheetData>
    <row r="1" spans="1:3" ht="15.75" x14ac:dyDescent="0.25">
      <c r="A1" s="436" t="s">
        <v>262</v>
      </c>
      <c r="B1" s="436"/>
      <c r="C1" s="436"/>
    </row>
    <row r="2" spans="1:3" x14ac:dyDescent="0.25">
      <c r="A2" s="313" t="s">
        <v>263</v>
      </c>
      <c r="B2" s="313"/>
      <c r="C2" s="313"/>
    </row>
    <row r="3" spans="1:3" x14ac:dyDescent="0.25">
      <c r="A3" s="313" t="s">
        <v>264</v>
      </c>
      <c r="B3" s="313" t="s">
        <v>265</v>
      </c>
      <c r="C3" s="386">
        <v>6</v>
      </c>
    </row>
    <row r="4" spans="1:3" x14ac:dyDescent="0.25">
      <c r="A4" s="313" t="s">
        <v>266</v>
      </c>
      <c r="B4" s="313" t="s">
        <v>267</v>
      </c>
      <c r="C4" s="387">
        <v>5400</v>
      </c>
    </row>
    <row r="5" spans="1:3" x14ac:dyDescent="0.25">
      <c r="A5" s="313" t="s">
        <v>268</v>
      </c>
      <c r="B5" s="313" t="s">
        <v>267</v>
      </c>
      <c r="C5" s="388" t="s">
        <v>269</v>
      </c>
    </row>
    <row r="6" spans="1:3" ht="15" customHeight="1" x14ac:dyDescent="0.25">
      <c r="A6" s="313" t="s">
        <v>270</v>
      </c>
      <c r="B6" s="313" t="s">
        <v>271</v>
      </c>
      <c r="C6" s="387">
        <v>3000</v>
      </c>
    </row>
    <row r="7" spans="1:3" x14ac:dyDescent="0.25">
      <c r="A7" s="311"/>
      <c r="B7" s="311"/>
      <c r="C7" s="312"/>
    </row>
    <row r="8" spans="1:3" ht="18" customHeight="1" x14ac:dyDescent="0.25">
      <c r="A8" s="437" t="s">
        <v>272</v>
      </c>
      <c r="B8" s="437"/>
      <c r="C8" s="437"/>
    </row>
    <row r="9" spans="1:3" x14ac:dyDescent="0.25">
      <c r="A9" s="313" t="s">
        <v>273</v>
      </c>
      <c r="B9" s="313" t="s">
        <v>274</v>
      </c>
      <c r="C9" s="313" t="s">
        <v>275</v>
      </c>
    </row>
    <row r="10" spans="1:3" x14ac:dyDescent="0.25">
      <c r="A10" s="313" t="s">
        <v>276</v>
      </c>
      <c r="B10" s="313" t="s">
        <v>277</v>
      </c>
      <c r="C10" s="386">
        <v>380</v>
      </c>
    </row>
    <row r="11" spans="1:3" x14ac:dyDescent="0.25">
      <c r="A11" s="313" t="s">
        <v>278</v>
      </c>
      <c r="B11" s="313" t="s">
        <v>279</v>
      </c>
      <c r="C11" s="386">
        <v>16</v>
      </c>
    </row>
    <row r="12" spans="1:3" x14ac:dyDescent="0.25">
      <c r="A12" s="313" t="s">
        <v>280</v>
      </c>
      <c r="B12" s="313" t="s">
        <v>281</v>
      </c>
      <c r="C12" s="386">
        <v>6</v>
      </c>
    </row>
    <row r="13" spans="1:3" ht="45" x14ac:dyDescent="0.25">
      <c r="A13" s="313" t="s">
        <v>284</v>
      </c>
      <c r="B13" s="313" t="s">
        <v>285</v>
      </c>
      <c r="C13" s="386">
        <v>10</v>
      </c>
    </row>
    <row r="14" spans="1:3" x14ac:dyDescent="0.25">
      <c r="A14" s="313" t="s">
        <v>286</v>
      </c>
      <c r="B14" s="313" t="s">
        <v>287</v>
      </c>
      <c r="C14" s="386">
        <v>30</v>
      </c>
    </row>
    <row r="15" spans="1:3" x14ac:dyDescent="0.25">
      <c r="A15" s="313" t="s">
        <v>288</v>
      </c>
      <c r="B15" s="313" t="s">
        <v>289</v>
      </c>
      <c r="C15" s="386">
        <v>60</v>
      </c>
    </row>
    <row r="16" spans="1:3" x14ac:dyDescent="0.25">
      <c r="A16" s="313" t="s">
        <v>290</v>
      </c>
      <c r="B16" s="313" t="s">
        <v>267</v>
      </c>
      <c r="C16" s="387">
        <v>15000</v>
      </c>
    </row>
    <row r="17" spans="1:36" x14ac:dyDescent="0.25">
      <c r="A17" s="313" t="s">
        <v>291</v>
      </c>
      <c r="B17" s="313" t="s">
        <v>271</v>
      </c>
      <c r="C17" s="387">
        <v>45000</v>
      </c>
    </row>
    <row r="18" spans="1:36" ht="30" x14ac:dyDescent="0.25">
      <c r="A18" s="313" t="s">
        <v>292</v>
      </c>
      <c r="B18" s="313" t="s">
        <v>293</v>
      </c>
      <c r="C18" s="386">
        <v>15</v>
      </c>
    </row>
    <row r="19" spans="1:36" x14ac:dyDescent="0.25">
      <c r="A19" s="313" t="s">
        <v>294</v>
      </c>
      <c r="B19" s="313" t="s">
        <v>295</v>
      </c>
      <c r="C19" s="389">
        <v>1</v>
      </c>
      <c r="D19" s="300"/>
    </row>
    <row r="20" spans="1:36" s="300" customFormat="1" x14ac:dyDescent="0.2">
      <c r="A20" s="313" t="s">
        <v>296</v>
      </c>
      <c r="B20" s="313" t="s">
        <v>295</v>
      </c>
      <c r="C20" s="390">
        <v>0.15</v>
      </c>
    </row>
    <row r="21" spans="1:36" s="300" customFormat="1" x14ac:dyDescent="0.2">
      <c r="A21" s="313" t="s">
        <v>297</v>
      </c>
      <c r="B21" s="313" t="s">
        <v>298</v>
      </c>
      <c r="C21" s="386">
        <v>0.2</v>
      </c>
    </row>
    <row r="22" spans="1:36" x14ac:dyDescent="0.25">
      <c r="A22" s="313" t="s">
        <v>282</v>
      </c>
      <c r="B22" s="313" t="s">
        <v>283</v>
      </c>
      <c r="C22" s="386">
        <v>0.16</v>
      </c>
      <c r="E22" s="300"/>
      <c r="F22" s="300"/>
      <c r="G22" s="300"/>
      <c r="H22" s="300"/>
      <c r="I22" s="300"/>
      <c r="M22" s="300"/>
      <c r="N22" s="300"/>
      <c r="O22" s="300"/>
      <c r="P22" s="300"/>
      <c r="Q22" s="300"/>
      <c r="R22" s="300"/>
      <c r="S22" s="300"/>
      <c r="T22" s="300"/>
      <c r="U22" s="300"/>
      <c r="V22" s="300"/>
      <c r="W22" s="300"/>
      <c r="X22" s="300"/>
      <c r="Y22" s="300"/>
      <c r="Z22" s="300"/>
      <c r="AA22" s="300"/>
      <c r="AB22" s="300"/>
    </row>
    <row r="25" spans="1:36" x14ac:dyDescent="0.25">
      <c r="A25" s="310" t="s">
        <v>299</v>
      </c>
      <c r="B25" s="391">
        <f>ROUNDUP(inputdata!E3/6,-3)*2</f>
        <v>168000</v>
      </c>
    </row>
    <row r="26" spans="1:36" x14ac:dyDescent="0.25">
      <c r="A26" s="310" t="s">
        <v>300</v>
      </c>
      <c r="B26" s="391">
        <f>ROUNDUP(16/((C13*2/C14)+C15/60),0)</f>
        <v>10</v>
      </c>
    </row>
    <row r="27" spans="1:36" x14ac:dyDescent="0.25">
      <c r="A27" s="310" t="s">
        <v>301</v>
      </c>
      <c r="B27" s="391">
        <f>ROUNDUP(B25/(B26*30),0)</f>
        <v>560</v>
      </c>
    </row>
    <row r="28" spans="1:36" x14ac:dyDescent="0.25">
      <c r="A28" s="310" t="s">
        <v>302</v>
      </c>
      <c r="B28" s="391">
        <f>B27*2</f>
        <v>1120</v>
      </c>
    </row>
    <row r="29" spans="1:36" x14ac:dyDescent="0.25">
      <c r="A29" s="310" t="s">
        <v>303</v>
      </c>
      <c r="B29" s="391">
        <f>B25*15*12</f>
        <v>30240000</v>
      </c>
    </row>
    <row r="30" spans="1:36" x14ac:dyDescent="0.25">
      <c r="F30" s="301"/>
    </row>
    <row r="31" spans="1:36" ht="18.75" x14ac:dyDescent="0.3">
      <c r="A31" s="445" t="s">
        <v>213</v>
      </c>
      <c r="B31" s="445"/>
      <c r="C31" s="392" t="s">
        <v>324</v>
      </c>
      <c r="D31" s="298">
        <v>0</v>
      </c>
      <c r="E31" s="298">
        <v>1</v>
      </c>
      <c r="F31" s="298">
        <v>2</v>
      </c>
      <c r="G31" s="298">
        <v>3</v>
      </c>
      <c r="H31" s="298">
        <v>4</v>
      </c>
      <c r="I31" s="298">
        <v>5</v>
      </c>
      <c r="J31" s="298">
        <v>6</v>
      </c>
      <c r="K31" s="298">
        <v>7</v>
      </c>
      <c r="L31" s="298">
        <v>8</v>
      </c>
      <c r="M31" s="298">
        <v>9</v>
      </c>
      <c r="N31" s="298">
        <v>10</v>
      </c>
      <c r="O31" s="298">
        <v>11</v>
      </c>
      <c r="P31" s="298">
        <v>12</v>
      </c>
      <c r="Q31" s="298">
        <v>13</v>
      </c>
      <c r="R31" s="298">
        <v>14</v>
      </c>
      <c r="S31" s="298">
        <v>15</v>
      </c>
      <c r="T31" s="298">
        <v>16</v>
      </c>
      <c r="U31" s="298">
        <v>17</v>
      </c>
      <c r="V31" s="298">
        <v>18</v>
      </c>
      <c r="W31" s="298">
        <v>19</v>
      </c>
      <c r="X31" s="298">
        <v>20</v>
      </c>
      <c r="Y31" s="298">
        <v>21</v>
      </c>
      <c r="Z31" s="298">
        <v>22</v>
      </c>
      <c r="AA31" s="298">
        <v>23</v>
      </c>
      <c r="AB31" s="298">
        <v>24</v>
      </c>
      <c r="AC31" s="298">
        <v>25</v>
      </c>
      <c r="AD31" s="298">
        <v>26</v>
      </c>
      <c r="AE31" s="298">
        <v>27</v>
      </c>
      <c r="AF31" s="298">
        <v>28</v>
      </c>
      <c r="AG31" s="298">
        <v>29</v>
      </c>
      <c r="AH31" s="298">
        <v>30</v>
      </c>
      <c r="AI31" s="299"/>
    </row>
    <row r="32" spans="1:36" ht="16.5" customHeight="1" x14ac:dyDescent="0.25">
      <c r="C32" s="314" t="s">
        <v>227</v>
      </c>
      <c r="D32" s="315" t="s">
        <v>352</v>
      </c>
      <c r="E32" s="315" t="s">
        <v>325</v>
      </c>
      <c r="F32" s="315" t="s">
        <v>325</v>
      </c>
      <c r="G32" s="315" t="s">
        <v>325</v>
      </c>
      <c r="H32" s="315" t="s">
        <v>325</v>
      </c>
      <c r="I32" s="315" t="s">
        <v>325</v>
      </c>
      <c r="J32" s="315" t="s">
        <v>325</v>
      </c>
      <c r="K32" s="315" t="s">
        <v>325</v>
      </c>
      <c r="L32" s="315" t="s">
        <v>325</v>
      </c>
      <c r="M32" s="315" t="s">
        <v>325</v>
      </c>
      <c r="N32" s="315" t="s">
        <v>325</v>
      </c>
      <c r="O32" s="315" t="s">
        <v>325</v>
      </c>
      <c r="P32" s="315" t="s">
        <v>325</v>
      </c>
      <c r="Q32" s="315" t="s">
        <v>325</v>
      </c>
      <c r="R32" s="315" t="s">
        <v>325</v>
      </c>
      <c r="S32" s="315" t="s">
        <v>325</v>
      </c>
      <c r="T32" s="315" t="s">
        <v>325</v>
      </c>
      <c r="U32" s="315" t="s">
        <v>325</v>
      </c>
      <c r="V32" s="315" t="s">
        <v>325</v>
      </c>
      <c r="W32" s="315" t="s">
        <v>325</v>
      </c>
      <c r="X32" s="315" t="s">
        <v>325</v>
      </c>
      <c r="Y32" s="315" t="s">
        <v>325</v>
      </c>
      <c r="Z32" s="315" t="s">
        <v>325</v>
      </c>
      <c r="AA32" s="315" t="s">
        <v>325</v>
      </c>
      <c r="AB32" s="315" t="s">
        <v>325</v>
      </c>
      <c r="AC32" s="315" t="s">
        <v>325</v>
      </c>
      <c r="AD32" s="315" t="s">
        <v>325</v>
      </c>
      <c r="AE32" s="315" t="s">
        <v>325</v>
      </c>
      <c r="AF32" s="315" t="s">
        <v>325</v>
      </c>
      <c r="AG32" s="315" t="s">
        <v>325</v>
      </c>
      <c r="AH32" s="315" t="s">
        <v>325</v>
      </c>
      <c r="AI32" s="299"/>
      <c r="AJ32" s="299"/>
    </row>
    <row r="33" spans="1:38" x14ac:dyDescent="0.25">
      <c r="A33" s="316" t="str">
        <f>inputdata!A37</f>
        <v>local wells</v>
      </c>
      <c r="B33" s="317" t="str">
        <f>inputdata!B37</f>
        <v>GW</v>
      </c>
      <c r="C33" s="334"/>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c r="AH33" s="334"/>
      <c r="AI33" s="299"/>
      <c r="AJ33" s="299"/>
    </row>
    <row r="34" spans="1:38" ht="15.75" x14ac:dyDescent="0.25">
      <c r="A34" s="439"/>
      <c r="B34" s="439"/>
      <c r="C34" s="318" t="s">
        <v>184</v>
      </c>
      <c r="D34" s="319"/>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299"/>
      <c r="AJ34" s="299"/>
    </row>
    <row r="35" spans="1:38" ht="45" x14ac:dyDescent="0.25">
      <c r="A35" s="446" t="str">
        <f>inputdata!A38</f>
        <v>Man made River supply</v>
      </c>
      <c r="B35" s="440" t="str">
        <f>inputdata!B38</f>
        <v>MMR</v>
      </c>
      <c r="C35" s="320" t="s">
        <v>212</v>
      </c>
      <c r="D35" s="328">
        <v>79251545.447999999</v>
      </c>
      <c r="E35" s="328">
        <v>1585030.909</v>
      </c>
      <c r="F35" s="328">
        <v>1585030.909</v>
      </c>
      <c r="G35" s="328">
        <v>1585030.909</v>
      </c>
      <c r="H35" s="328">
        <v>1585030.909</v>
      </c>
      <c r="I35" s="328">
        <v>1585030.909</v>
      </c>
      <c r="J35" s="328">
        <v>1585030.909</v>
      </c>
      <c r="K35" s="328">
        <v>1585030.909</v>
      </c>
      <c r="L35" s="328">
        <v>1585030.909</v>
      </c>
      <c r="M35" s="328">
        <v>1585030.909</v>
      </c>
      <c r="N35" s="328">
        <v>1585030.909</v>
      </c>
      <c r="O35" s="328">
        <v>1585030.909</v>
      </c>
      <c r="P35" s="328">
        <v>1585030.909</v>
      </c>
      <c r="Q35" s="328">
        <v>1585030.909</v>
      </c>
      <c r="R35" s="328">
        <v>1585030.909</v>
      </c>
      <c r="S35" s="328">
        <v>1585030.909</v>
      </c>
      <c r="T35" s="328">
        <v>1585030.909</v>
      </c>
      <c r="U35" s="328">
        <v>1585030.909</v>
      </c>
      <c r="V35" s="328">
        <v>1585030.909</v>
      </c>
      <c r="W35" s="328">
        <v>1585030.909</v>
      </c>
      <c r="X35" s="328">
        <v>1585030.909</v>
      </c>
      <c r="Y35" s="328">
        <v>1585030.909</v>
      </c>
      <c r="Z35" s="328">
        <v>1585030.909</v>
      </c>
      <c r="AA35" s="328">
        <v>1585030.909</v>
      </c>
      <c r="AB35" s="328">
        <v>1585030.909</v>
      </c>
      <c r="AC35" s="328">
        <v>1585030.909</v>
      </c>
      <c r="AD35" s="328">
        <v>1585030.909</v>
      </c>
      <c r="AE35" s="328">
        <v>1585030.909</v>
      </c>
      <c r="AF35" s="328">
        <v>1585030.909</v>
      </c>
      <c r="AG35" s="328">
        <v>1585030.909</v>
      </c>
      <c r="AH35" s="328">
        <v>1585030.909</v>
      </c>
      <c r="AI35" s="299"/>
      <c r="AJ35" s="299"/>
    </row>
    <row r="36" spans="1:38" ht="30" x14ac:dyDescent="0.25">
      <c r="A36" s="447"/>
      <c r="B36" s="440"/>
      <c r="C36" s="320" t="s">
        <v>211</v>
      </c>
      <c r="D36" s="329"/>
      <c r="E36" s="328">
        <f>10.95*10^6*ROUNDUP(((1.05)^19)*0.34,2)</f>
        <v>9417000</v>
      </c>
      <c r="F36" s="328">
        <f t="shared" ref="F36:AH36" si="0">10.95*10^6*ROUNDUP(((1.05)^19)*0.34,2)</f>
        <v>9417000</v>
      </c>
      <c r="G36" s="328">
        <f t="shared" si="0"/>
        <v>9417000</v>
      </c>
      <c r="H36" s="328">
        <f t="shared" si="0"/>
        <v>9417000</v>
      </c>
      <c r="I36" s="328">
        <f t="shared" si="0"/>
        <v>9417000</v>
      </c>
      <c r="J36" s="328">
        <f t="shared" si="0"/>
        <v>9417000</v>
      </c>
      <c r="K36" s="328">
        <f t="shared" si="0"/>
        <v>9417000</v>
      </c>
      <c r="L36" s="328">
        <f t="shared" si="0"/>
        <v>9417000</v>
      </c>
      <c r="M36" s="328">
        <f t="shared" si="0"/>
        <v>9417000</v>
      </c>
      <c r="N36" s="328">
        <f t="shared" si="0"/>
        <v>9417000</v>
      </c>
      <c r="O36" s="328">
        <f t="shared" si="0"/>
        <v>9417000</v>
      </c>
      <c r="P36" s="328">
        <f t="shared" si="0"/>
        <v>9417000</v>
      </c>
      <c r="Q36" s="328">
        <f t="shared" si="0"/>
        <v>9417000</v>
      </c>
      <c r="R36" s="328">
        <f t="shared" si="0"/>
        <v>9417000</v>
      </c>
      <c r="S36" s="328">
        <f t="shared" si="0"/>
        <v>9417000</v>
      </c>
      <c r="T36" s="328">
        <f t="shared" si="0"/>
        <v>9417000</v>
      </c>
      <c r="U36" s="328">
        <f t="shared" si="0"/>
        <v>9417000</v>
      </c>
      <c r="V36" s="328">
        <f t="shared" si="0"/>
        <v>9417000</v>
      </c>
      <c r="W36" s="328">
        <f t="shared" si="0"/>
        <v>9417000</v>
      </c>
      <c r="X36" s="328">
        <f t="shared" si="0"/>
        <v>9417000</v>
      </c>
      <c r="Y36" s="328">
        <f t="shared" si="0"/>
        <v>9417000</v>
      </c>
      <c r="Z36" s="328">
        <f t="shared" si="0"/>
        <v>9417000</v>
      </c>
      <c r="AA36" s="328">
        <f t="shared" si="0"/>
        <v>9417000</v>
      </c>
      <c r="AB36" s="328">
        <f t="shared" si="0"/>
        <v>9417000</v>
      </c>
      <c r="AC36" s="328">
        <f t="shared" si="0"/>
        <v>9417000</v>
      </c>
      <c r="AD36" s="328">
        <f t="shared" si="0"/>
        <v>9417000</v>
      </c>
      <c r="AE36" s="328">
        <f t="shared" si="0"/>
        <v>9417000</v>
      </c>
      <c r="AF36" s="328">
        <f t="shared" si="0"/>
        <v>9417000</v>
      </c>
      <c r="AG36" s="328">
        <f t="shared" si="0"/>
        <v>9417000</v>
      </c>
      <c r="AH36" s="328">
        <f t="shared" si="0"/>
        <v>9417000</v>
      </c>
      <c r="AI36" s="299"/>
      <c r="AJ36" s="299"/>
    </row>
    <row r="37" spans="1:38" ht="15.75" x14ac:dyDescent="0.25">
      <c r="A37" s="448"/>
      <c r="B37" s="440"/>
      <c r="C37" s="318" t="s">
        <v>184</v>
      </c>
      <c r="D37" s="319">
        <f>SUM(D35:D36)</f>
        <v>79251545.447999999</v>
      </c>
      <c r="E37" s="319">
        <f>SUM(E35:E36)</f>
        <v>11002030.909</v>
      </c>
      <c r="F37" s="319">
        <f t="shared" ref="F37:AH37" si="1">SUM(F35:F36)</f>
        <v>11002030.909</v>
      </c>
      <c r="G37" s="319">
        <f t="shared" si="1"/>
        <v>11002030.909</v>
      </c>
      <c r="H37" s="319">
        <f t="shared" si="1"/>
        <v>11002030.909</v>
      </c>
      <c r="I37" s="319">
        <f t="shared" si="1"/>
        <v>11002030.909</v>
      </c>
      <c r="J37" s="319">
        <f t="shared" si="1"/>
        <v>11002030.909</v>
      </c>
      <c r="K37" s="319">
        <f t="shared" si="1"/>
        <v>11002030.909</v>
      </c>
      <c r="L37" s="319">
        <f t="shared" si="1"/>
        <v>11002030.909</v>
      </c>
      <c r="M37" s="319">
        <f t="shared" si="1"/>
        <v>11002030.909</v>
      </c>
      <c r="N37" s="319">
        <f t="shared" si="1"/>
        <v>11002030.909</v>
      </c>
      <c r="O37" s="319">
        <f t="shared" si="1"/>
        <v>11002030.909</v>
      </c>
      <c r="P37" s="319">
        <f t="shared" si="1"/>
        <v>11002030.909</v>
      </c>
      <c r="Q37" s="319">
        <f t="shared" si="1"/>
        <v>11002030.909</v>
      </c>
      <c r="R37" s="319">
        <f t="shared" si="1"/>
        <v>11002030.909</v>
      </c>
      <c r="S37" s="319">
        <f t="shared" si="1"/>
        <v>11002030.909</v>
      </c>
      <c r="T37" s="319">
        <f t="shared" si="1"/>
        <v>11002030.909</v>
      </c>
      <c r="U37" s="319">
        <f t="shared" si="1"/>
        <v>11002030.909</v>
      </c>
      <c r="V37" s="319">
        <f t="shared" si="1"/>
        <v>11002030.909</v>
      </c>
      <c r="W37" s="319">
        <f t="shared" si="1"/>
        <v>11002030.909</v>
      </c>
      <c r="X37" s="319">
        <f t="shared" si="1"/>
        <v>11002030.909</v>
      </c>
      <c r="Y37" s="319">
        <f t="shared" si="1"/>
        <v>11002030.909</v>
      </c>
      <c r="Z37" s="319">
        <f t="shared" si="1"/>
        <v>11002030.909</v>
      </c>
      <c r="AA37" s="319">
        <f t="shared" si="1"/>
        <v>11002030.909</v>
      </c>
      <c r="AB37" s="319">
        <f t="shared" si="1"/>
        <v>11002030.909</v>
      </c>
      <c r="AC37" s="319">
        <f t="shared" si="1"/>
        <v>11002030.909</v>
      </c>
      <c r="AD37" s="319">
        <f t="shared" si="1"/>
        <v>11002030.909</v>
      </c>
      <c r="AE37" s="319">
        <f t="shared" si="1"/>
        <v>11002030.909</v>
      </c>
      <c r="AF37" s="319">
        <f t="shared" si="1"/>
        <v>11002030.909</v>
      </c>
      <c r="AG37" s="319">
        <f t="shared" si="1"/>
        <v>11002030.909</v>
      </c>
      <c r="AH37" s="319">
        <f t="shared" si="1"/>
        <v>11002030.909</v>
      </c>
      <c r="AI37" s="299"/>
      <c r="AJ37" s="299"/>
    </row>
    <row r="38" spans="1:38" ht="25.5" customHeight="1" x14ac:dyDescent="0.25">
      <c r="A38" s="321" t="str">
        <f>inputdata!A39</f>
        <v xml:space="preserve">conventional activated sludge </v>
      </c>
      <c r="B38" s="322" t="str">
        <f>inputdata!B39</f>
        <v>T1</v>
      </c>
      <c r="C38" s="330"/>
      <c r="D38" s="330"/>
      <c r="E38" s="330"/>
      <c r="F38" s="330"/>
      <c r="G38" s="330"/>
      <c r="H38" s="330"/>
      <c r="I38" s="330"/>
      <c r="J38" s="330"/>
      <c r="K38" s="330"/>
      <c r="L38" s="330"/>
      <c r="M38" s="330"/>
      <c r="N38" s="330"/>
      <c r="O38" s="330"/>
      <c r="P38" s="330"/>
      <c r="Q38" s="330"/>
      <c r="R38" s="330"/>
      <c r="S38" s="330"/>
      <c r="T38" s="330"/>
      <c r="U38" s="330"/>
      <c r="V38" s="330"/>
      <c r="W38" s="330"/>
      <c r="X38" s="330"/>
      <c r="Y38" s="330"/>
      <c r="Z38" s="330"/>
      <c r="AA38" s="330"/>
      <c r="AB38" s="330"/>
      <c r="AC38" s="330"/>
      <c r="AD38" s="330"/>
      <c r="AE38" s="330"/>
      <c r="AF38" s="330"/>
      <c r="AG38" s="330"/>
      <c r="AH38" s="330"/>
      <c r="AI38" s="299"/>
    </row>
    <row r="39" spans="1:38" ht="15.75" x14ac:dyDescent="0.25">
      <c r="A39" s="439"/>
      <c r="B39" s="439"/>
      <c r="C39" s="318" t="s">
        <v>184</v>
      </c>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299"/>
    </row>
    <row r="40" spans="1:38" ht="21" customHeight="1" x14ac:dyDescent="0.25">
      <c r="A40" s="323" t="str">
        <f>inputdata!A40</f>
        <v>on site( Three-tank system )</v>
      </c>
      <c r="B40" s="323" t="str">
        <f>inputdata!B40</f>
        <v>T2</v>
      </c>
      <c r="C40" s="330"/>
      <c r="D40" s="331"/>
      <c r="E40" s="331"/>
      <c r="F40" s="331"/>
      <c r="G40" s="331"/>
      <c r="H40" s="331"/>
      <c r="I40" s="331"/>
      <c r="J40" s="331"/>
      <c r="K40" s="331"/>
      <c r="L40" s="331"/>
      <c r="M40" s="331"/>
      <c r="N40" s="331"/>
      <c r="O40" s="331"/>
      <c r="P40" s="331"/>
      <c r="Q40" s="331"/>
      <c r="R40" s="331"/>
      <c r="S40" s="331"/>
      <c r="T40" s="331"/>
      <c r="U40" s="331"/>
      <c r="V40" s="331"/>
      <c r="W40" s="331"/>
      <c r="X40" s="331"/>
      <c r="Y40" s="331"/>
      <c r="Z40" s="331"/>
      <c r="AA40" s="331"/>
      <c r="AB40" s="331"/>
      <c r="AC40" s="331"/>
      <c r="AD40" s="331"/>
      <c r="AE40" s="331"/>
      <c r="AF40" s="331"/>
      <c r="AG40" s="331"/>
      <c r="AH40" s="331"/>
      <c r="AI40" s="299"/>
    </row>
    <row r="41" spans="1:38" ht="15.75" x14ac:dyDescent="0.25">
      <c r="A41" s="318"/>
      <c r="B41" s="318"/>
      <c r="C41" s="318" t="s">
        <v>184</v>
      </c>
      <c r="D41" s="319"/>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299"/>
    </row>
    <row r="42" spans="1:38" ht="24.75" customHeight="1" x14ac:dyDescent="0.25">
      <c r="A42" s="324" t="str">
        <f>inputdata!A41</f>
        <v>on site(Three-tank system +sand Filter)</v>
      </c>
      <c r="B42" s="323" t="str">
        <f>inputdata!B41</f>
        <v>T3</v>
      </c>
      <c r="C42" s="330"/>
      <c r="D42" s="331"/>
      <c r="E42" s="331"/>
      <c r="F42" s="331"/>
      <c r="G42" s="331"/>
      <c r="H42" s="331"/>
      <c r="I42" s="331"/>
      <c r="J42" s="331"/>
      <c r="K42" s="331"/>
      <c r="L42" s="331"/>
      <c r="M42" s="331"/>
      <c r="N42" s="331"/>
      <c r="O42" s="331"/>
      <c r="P42" s="331"/>
      <c r="Q42" s="331"/>
      <c r="R42" s="331"/>
      <c r="S42" s="331"/>
      <c r="T42" s="331"/>
      <c r="U42" s="331"/>
      <c r="V42" s="331"/>
      <c r="W42" s="331"/>
      <c r="X42" s="331"/>
      <c r="Y42" s="331"/>
      <c r="Z42" s="331"/>
      <c r="AA42" s="331"/>
      <c r="AB42" s="331"/>
      <c r="AC42" s="331"/>
      <c r="AD42" s="331"/>
      <c r="AE42" s="331"/>
      <c r="AF42" s="331"/>
      <c r="AG42" s="331"/>
      <c r="AH42" s="331"/>
      <c r="AI42" s="299"/>
    </row>
    <row r="43" spans="1:38" ht="15.75" x14ac:dyDescent="0.25">
      <c r="A43" s="439"/>
      <c r="B43" s="439"/>
      <c r="C43" s="318" t="s">
        <v>184</v>
      </c>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row>
    <row r="44" spans="1:38" ht="25.5" customHeight="1" x14ac:dyDescent="0.25">
      <c r="A44" s="438" t="str">
        <f>inputdata!A42</f>
        <v>septic tank+   (WSP)</v>
      </c>
      <c r="B44" s="438" t="str">
        <f>inputdata!B42</f>
        <v>T4</v>
      </c>
      <c r="C44" s="320" t="s">
        <v>308</v>
      </c>
      <c r="D44" s="393">
        <f>B25*C6</f>
        <v>504000000</v>
      </c>
      <c r="E44" s="332"/>
      <c r="F44" s="332"/>
      <c r="G44" s="333"/>
      <c r="H44" s="333"/>
      <c r="I44" s="333"/>
      <c r="J44" s="333"/>
      <c r="K44" s="333"/>
      <c r="L44" s="333"/>
      <c r="M44" s="333"/>
      <c r="N44" s="333"/>
      <c r="O44" s="333"/>
      <c r="P44" s="333"/>
      <c r="Q44" s="333"/>
      <c r="R44" s="333"/>
      <c r="S44" s="393">
        <f>D45</f>
        <v>25200000</v>
      </c>
      <c r="T44" s="334"/>
      <c r="U44" s="333"/>
      <c r="V44" s="333"/>
      <c r="W44" s="333"/>
      <c r="X44" s="333"/>
      <c r="Y44" s="333"/>
      <c r="Z44" s="333"/>
      <c r="AA44" s="333"/>
      <c r="AB44" s="333"/>
      <c r="AC44" s="333"/>
      <c r="AD44" s="333"/>
      <c r="AE44" s="333"/>
      <c r="AF44" s="333"/>
      <c r="AG44" s="333"/>
      <c r="AH44" s="333"/>
      <c r="AI44" s="299"/>
    </row>
    <row r="45" spans="1:38" x14ac:dyDescent="0.25">
      <c r="A45" s="438"/>
      <c r="B45" s="438"/>
      <c r="C45" s="320" t="s">
        <v>304</v>
      </c>
      <c r="D45" s="393">
        <f>B27*C17</f>
        <v>25200000</v>
      </c>
      <c r="E45" s="393">
        <f>$D$45*$C$20</f>
        <v>3780000</v>
      </c>
      <c r="F45" s="393">
        <f t="shared" ref="F45:AH45" si="2">$D$45*$C$20</f>
        <v>3780000</v>
      </c>
      <c r="G45" s="393">
        <f t="shared" si="2"/>
        <v>3780000</v>
      </c>
      <c r="H45" s="393">
        <f t="shared" si="2"/>
        <v>3780000</v>
      </c>
      <c r="I45" s="393">
        <f t="shared" si="2"/>
        <v>3780000</v>
      </c>
      <c r="J45" s="393">
        <f t="shared" si="2"/>
        <v>3780000</v>
      </c>
      <c r="K45" s="393">
        <f t="shared" si="2"/>
        <v>3780000</v>
      </c>
      <c r="L45" s="393">
        <f t="shared" si="2"/>
        <v>3780000</v>
      </c>
      <c r="M45" s="393">
        <f t="shared" si="2"/>
        <v>3780000</v>
      </c>
      <c r="N45" s="393">
        <f t="shared" si="2"/>
        <v>3780000</v>
      </c>
      <c r="O45" s="393">
        <f t="shared" si="2"/>
        <v>3780000</v>
      </c>
      <c r="P45" s="393">
        <f t="shared" si="2"/>
        <v>3780000</v>
      </c>
      <c r="Q45" s="393">
        <f t="shared" si="2"/>
        <v>3780000</v>
      </c>
      <c r="R45" s="393">
        <f t="shared" si="2"/>
        <v>3780000</v>
      </c>
      <c r="S45" s="393">
        <f t="shared" si="2"/>
        <v>3780000</v>
      </c>
      <c r="T45" s="393">
        <f t="shared" si="2"/>
        <v>3780000</v>
      </c>
      <c r="U45" s="393">
        <f t="shared" si="2"/>
        <v>3780000</v>
      </c>
      <c r="V45" s="393">
        <f t="shared" si="2"/>
        <v>3780000</v>
      </c>
      <c r="W45" s="393">
        <f t="shared" si="2"/>
        <v>3780000</v>
      </c>
      <c r="X45" s="393">
        <f t="shared" si="2"/>
        <v>3780000</v>
      </c>
      <c r="Y45" s="393">
        <f t="shared" si="2"/>
        <v>3780000</v>
      </c>
      <c r="Z45" s="393">
        <f t="shared" si="2"/>
        <v>3780000</v>
      </c>
      <c r="AA45" s="393">
        <f t="shared" si="2"/>
        <v>3780000</v>
      </c>
      <c r="AB45" s="393">
        <f t="shared" si="2"/>
        <v>3780000</v>
      </c>
      <c r="AC45" s="393">
        <f t="shared" si="2"/>
        <v>3780000</v>
      </c>
      <c r="AD45" s="393">
        <f t="shared" si="2"/>
        <v>3780000</v>
      </c>
      <c r="AE45" s="393">
        <f t="shared" si="2"/>
        <v>3780000</v>
      </c>
      <c r="AF45" s="393">
        <f t="shared" si="2"/>
        <v>3780000</v>
      </c>
      <c r="AG45" s="393">
        <f t="shared" si="2"/>
        <v>3780000</v>
      </c>
      <c r="AH45" s="393">
        <f t="shared" si="2"/>
        <v>3780000</v>
      </c>
      <c r="AI45" s="299"/>
    </row>
    <row r="46" spans="1:38" x14ac:dyDescent="0.25">
      <c r="A46" s="438"/>
      <c r="B46" s="438"/>
      <c r="C46" s="320" t="s">
        <v>302</v>
      </c>
      <c r="D46" s="332"/>
      <c r="E46" s="393">
        <f>$B$28*$C$10*12</f>
        <v>5107200</v>
      </c>
      <c r="F46" s="393">
        <f t="shared" ref="F46:AH46" si="3">$B$28*$C$10*12</f>
        <v>5107200</v>
      </c>
      <c r="G46" s="393">
        <f t="shared" si="3"/>
        <v>5107200</v>
      </c>
      <c r="H46" s="393">
        <f t="shared" si="3"/>
        <v>5107200</v>
      </c>
      <c r="I46" s="393">
        <f t="shared" si="3"/>
        <v>5107200</v>
      </c>
      <c r="J46" s="393">
        <f t="shared" si="3"/>
        <v>5107200</v>
      </c>
      <c r="K46" s="393">
        <f t="shared" si="3"/>
        <v>5107200</v>
      </c>
      <c r="L46" s="393">
        <f t="shared" si="3"/>
        <v>5107200</v>
      </c>
      <c r="M46" s="393">
        <f t="shared" si="3"/>
        <v>5107200</v>
      </c>
      <c r="N46" s="393">
        <f t="shared" si="3"/>
        <v>5107200</v>
      </c>
      <c r="O46" s="393">
        <f t="shared" si="3"/>
        <v>5107200</v>
      </c>
      <c r="P46" s="393">
        <f t="shared" si="3"/>
        <v>5107200</v>
      </c>
      <c r="Q46" s="393">
        <f t="shared" si="3"/>
        <v>5107200</v>
      </c>
      <c r="R46" s="393">
        <f t="shared" si="3"/>
        <v>5107200</v>
      </c>
      <c r="S46" s="393">
        <f t="shared" si="3"/>
        <v>5107200</v>
      </c>
      <c r="T46" s="393">
        <f t="shared" si="3"/>
        <v>5107200</v>
      </c>
      <c r="U46" s="393">
        <f t="shared" si="3"/>
        <v>5107200</v>
      </c>
      <c r="V46" s="393">
        <f t="shared" si="3"/>
        <v>5107200</v>
      </c>
      <c r="W46" s="393">
        <f t="shared" si="3"/>
        <v>5107200</v>
      </c>
      <c r="X46" s="393">
        <f t="shared" si="3"/>
        <v>5107200</v>
      </c>
      <c r="Y46" s="393">
        <f t="shared" si="3"/>
        <v>5107200</v>
      </c>
      <c r="Z46" s="393">
        <f t="shared" si="3"/>
        <v>5107200</v>
      </c>
      <c r="AA46" s="393">
        <f t="shared" si="3"/>
        <v>5107200</v>
      </c>
      <c r="AB46" s="393">
        <f t="shared" si="3"/>
        <v>5107200</v>
      </c>
      <c r="AC46" s="393">
        <f t="shared" si="3"/>
        <v>5107200</v>
      </c>
      <c r="AD46" s="393">
        <f t="shared" si="3"/>
        <v>5107200</v>
      </c>
      <c r="AE46" s="393">
        <f t="shared" si="3"/>
        <v>5107200</v>
      </c>
      <c r="AF46" s="393">
        <f t="shared" si="3"/>
        <v>5107200</v>
      </c>
      <c r="AG46" s="393">
        <f t="shared" si="3"/>
        <v>5107200</v>
      </c>
      <c r="AH46" s="393">
        <f t="shared" si="3"/>
        <v>5107200</v>
      </c>
      <c r="AI46" s="299"/>
    </row>
    <row r="47" spans="1:38" x14ac:dyDescent="0.25">
      <c r="A47" s="438"/>
      <c r="B47" s="438"/>
      <c r="C47" s="320" t="s">
        <v>305</v>
      </c>
      <c r="D47" s="332"/>
      <c r="E47" s="393">
        <f>$B$27*$B$26*$C$13*2*$C$22*365*$C$21</f>
        <v>1308160</v>
      </c>
      <c r="F47" s="393">
        <f t="shared" ref="F47:AH47" si="4">$B$27*$B$26*$C$13*2*$C$22*365*$C$21</f>
        <v>1308160</v>
      </c>
      <c r="G47" s="393">
        <f t="shared" si="4"/>
        <v>1308160</v>
      </c>
      <c r="H47" s="393">
        <f t="shared" si="4"/>
        <v>1308160</v>
      </c>
      <c r="I47" s="393">
        <f t="shared" si="4"/>
        <v>1308160</v>
      </c>
      <c r="J47" s="393">
        <f t="shared" si="4"/>
        <v>1308160</v>
      </c>
      <c r="K47" s="393">
        <f t="shared" si="4"/>
        <v>1308160</v>
      </c>
      <c r="L47" s="393">
        <f t="shared" si="4"/>
        <v>1308160</v>
      </c>
      <c r="M47" s="393">
        <f t="shared" si="4"/>
        <v>1308160</v>
      </c>
      <c r="N47" s="393">
        <f t="shared" si="4"/>
        <v>1308160</v>
      </c>
      <c r="O47" s="393">
        <f t="shared" si="4"/>
        <v>1308160</v>
      </c>
      <c r="P47" s="393">
        <f t="shared" si="4"/>
        <v>1308160</v>
      </c>
      <c r="Q47" s="393">
        <f t="shared" si="4"/>
        <v>1308160</v>
      </c>
      <c r="R47" s="393">
        <f t="shared" si="4"/>
        <v>1308160</v>
      </c>
      <c r="S47" s="393">
        <f t="shared" si="4"/>
        <v>1308160</v>
      </c>
      <c r="T47" s="393">
        <f t="shared" si="4"/>
        <v>1308160</v>
      </c>
      <c r="U47" s="393">
        <f t="shared" si="4"/>
        <v>1308160</v>
      </c>
      <c r="V47" s="393">
        <f t="shared" si="4"/>
        <v>1308160</v>
      </c>
      <c r="W47" s="393">
        <f t="shared" si="4"/>
        <v>1308160</v>
      </c>
      <c r="X47" s="393">
        <f t="shared" si="4"/>
        <v>1308160</v>
      </c>
      <c r="Y47" s="393">
        <f t="shared" si="4"/>
        <v>1308160</v>
      </c>
      <c r="Z47" s="393">
        <f t="shared" si="4"/>
        <v>1308160</v>
      </c>
      <c r="AA47" s="393">
        <f t="shared" si="4"/>
        <v>1308160</v>
      </c>
      <c r="AB47" s="393">
        <f t="shared" si="4"/>
        <v>1308160</v>
      </c>
      <c r="AC47" s="393">
        <f t="shared" si="4"/>
        <v>1308160</v>
      </c>
      <c r="AD47" s="393">
        <f t="shared" si="4"/>
        <v>1308160</v>
      </c>
      <c r="AE47" s="393">
        <f t="shared" si="4"/>
        <v>1308160</v>
      </c>
      <c r="AF47" s="393">
        <f t="shared" si="4"/>
        <v>1308160</v>
      </c>
      <c r="AG47" s="393">
        <f t="shared" si="4"/>
        <v>1308160</v>
      </c>
      <c r="AH47" s="393">
        <f t="shared" si="4"/>
        <v>1308160</v>
      </c>
      <c r="AI47"/>
      <c r="AJ47"/>
      <c r="AK47"/>
      <c r="AL47"/>
    </row>
    <row r="48" spans="1:38" x14ac:dyDescent="0.25">
      <c r="A48" s="438"/>
      <c r="B48" s="438"/>
      <c r="C48" s="320" t="s">
        <v>309</v>
      </c>
      <c r="D48" s="332">
        <v>8750000</v>
      </c>
      <c r="E48" s="332">
        <v>70000</v>
      </c>
      <c r="F48" s="332">
        <v>70000</v>
      </c>
      <c r="G48" s="332">
        <v>70000</v>
      </c>
      <c r="H48" s="332">
        <v>70000</v>
      </c>
      <c r="I48" s="332">
        <v>70000</v>
      </c>
      <c r="J48" s="332">
        <v>70000</v>
      </c>
      <c r="K48" s="332">
        <v>70000</v>
      </c>
      <c r="L48" s="332">
        <v>70000</v>
      </c>
      <c r="M48" s="332">
        <v>70000</v>
      </c>
      <c r="N48" s="332">
        <v>70000</v>
      </c>
      <c r="O48" s="332">
        <v>70000</v>
      </c>
      <c r="P48" s="332">
        <v>70000</v>
      </c>
      <c r="Q48" s="332">
        <v>70000</v>
      </c>
      <c r="R48" s="332">
        <v>70000</v>
      </c>
      <c r="S48" s="332">
        <v>70000</v>
      </c>
      <c r="T48" s="332">
        <v>70000</v>
      </c>
      <c r="U48" s="332">
        <v>70000</v>
      </c>
      <c r="V48" s="332">
        <v>70000</v>
      </c>
      <c r="W48" s="332">
        <v>70000</v>
      </c>
      <c r="X48" s="332">
        <v>70000</v>
      </c>
      <c r="Y48" s="332">
        <v>70000</v>
      </c>
      <c r="Z48" s="332">
        <v>70000</v>
      </c>
      <c r="AA48" s="332">
        <v>70000</v>
      </c>
      <c r="AB48" s="332">
        <v>70000</v>
      </c>
      <c r="AC48" s="332">
        <v>70000</v>
      </c>
      <c r="AD48" s="332">
        <v>70000</v>
      </c>
      <c r="AE48" s="332">
        <v>70000</v>
      </c>
      <c r="AF48" s="332">
        <v>70000</v>
      </c>
      <c r="AG48" s="332">
        <v>70000</v>
      </c>
      <c r="AH48" s="332">
        <v>70000</v>
      </c>
      <c r="AI48"/>
      <c r="AJ48"/>
      <c r="AK48"/>
      <c r="AL48"/>
    </row>
    <row r="49" spans="1:38" ht="15.75" x14ac:dyDescent="0.25">
      <c r="A49" s="439"/>
      <c r="B49" s="439"/>
      <c r="C49" s="318" t="s">
        <v>184</v>
      </c>
      <c r="D49" s="319">
        <f>SUM(D44:D48)</f>
        <v>537950000</v>
      </c>
      <c r="E49" s="319">
        <f>SUM(E44:E48)</f>
        <v>10265360</v>
      </c>
      <c r="F49" s="319">
        <f t="shared" ref="F49:AH49" si="5">SUM(F44:F48)</f>
        <v>10265360</v>
      </c>
      <c r="G49" s="319">
        <f t="shared" si="5"/>
        <v>10265360</v>
      </c>
      <c r="H49" s="319">
        <f t="shared" si="5"/>
        <v>10265360</v>
      </c>
      <c r="I49" s="319">
        <f t="shared" si="5"/>
        <v>10265360</v>
      </c>
      <c r="J49" s="319">
        <f t="shared" si="5"/>
        <v>10265360</v>
      </c>
      <c r="K49" s="319">
        <f t="shared" si="5"/>
        <v>10265360</v>
      </c>
      <c r="L49" s="319">
        <f t="shared" si="5"/>
        <v>10265360</v>
      </c>
      <c r="M49" s="319">
        <f t="shared" si="5"/>
        <v>10265360</v>
      </c>
      <c r="N49" s="319">
        <f t="shared" si="5"/>
        <v>10265360</v>
      </c>
      <c r="O49" s="319">
        <f t="shared" si="5"/>
        <v>10265360</v>
      </c>
      <c r="P49" s="319">
        <f t="shared" si="5"/>
        <v>10265360</v>
      </c>
      <c r="Q49" s="319">
        <f t="shared" si="5"/>
        <v>10265360</v>
      </c>
      <c r="R49" s="319">
        <f t="shared" si="5"/>
        <v>10265360</v>
      </c>
      <c r="S49" s="319">
        <f t="shared" si="5"/>
        <v>35465360</v>
      </c>
      <c r="T49" s="319">
        <f t="shared" si="5"/>
        <v>10265360</v>
      </c>
      <c r="U49" s="319">
        <f t="shared" si="5"/>
        <v>10265360</v>
      </c>
      <c r="V49" s="319">
        <f t="shared" si="5"/>
        <v>10265360</v>
      </c>
      <c r="W49" s="319">
        <f t="shared" si="5"/>
        <v>10265360</v>
      </c>
      <c r="X49" s="319">
        <f t="shared" si="5"/>
        <v>10265360</v>
      </c>
      <c r="Y49" s="319">
        <f t="shared" si="5"/>
        <v>10265360</v>
      </c>
      <c r="Z49" s="319">
        <f t="shared" si="5"/>
        <v>10265360</v>
      </c>
      <c r="AA49" s="319">
        <f t="shared" si="5"/>
        <v>10265360</v>
      </c>
      <c r="AB49" s="319">
        <f t="shared" si="5"/>
        <v>10265360</v>
      </c>
      <c r="AC49" s="319">
        <f t="shared" si="5"/>
        <v>10265360</v>
      </c>
      <c r="AD49" s="319">
        <f t="shared" si="5"/>
        <v>10265360</v>
      </c>
      <c r="AE49" s="319">
        <f t="shared" si="5"/>
        <v>10265360</v>
      </c>
      <c r="AF49" s="319">
        <f t="shared" si="5"/>
        <v>10265360</v>
      </c>
      <c r="AG49" s="319">
        <f t="shared" si="5"/>
        <v>10265360</v>
      </c>
      <c r="AH49" s="319">
        <f t="shared" si="5"/>
        <v>10265360</v>
      </c>
      <c r="AI49"/>
      <c r="AJ49"/>
      <c r="AK49"/>
      <c r="AL49"/>
    </row>
    <row r="50" spans="1:38" x14ac:dyDescent="0.25">
      <c r="A50" s="441" t="str">
        <f>inputdata!A43</f>
        <v>treatment plant  (WSP)</v>
      </c>
      <c r="B50" s="441" t="str">
        <f>inputdata!B43</f>
        <v>T5</v>
      </c>
      <c r="C50" s="320" t="s">
        <v>226</v>
      </c>
      <c r="D50" s="332">
        <f>50*500000</f>
        <v>25000000</v>
      </c>
      <c r="E50" s="332">
        <f>(inputdata!$E$3)*((1+inputdata!$E$4)^('inputdata(costs-benefits) '!E31-1))*0.7*0.4</f>
        <v>140000</v>
      </c>
      <c r="F50" s="332">
        <f>(inputdata!$E$3)*((1+inputdata!$E$4)^('inputdata(costs-benefits) '!F31-1))*0.7*0.4</f>
        <v>141652</v>
      </c>
      <c r="G50" s="332">
        <f>(inputdata!$E$3)*((1+inputdata!$E$4)^('inputdata(costs-benefits) '!G31-1))*0.7*0.4</f>
        <v>143323.49360000002</v>
      </c>
      <c r="H50" s="332">
        <f>(inputdata!$E$3)*((1+inputdata!$E$4)^('inputdata(costs-benefits) '!H31-1))*0.7*0.4</f>
        <v>145014.71082448002</v>
      </c>
      <c r="I50" s="332">
        <f>(inputdata!$E$3)*((1+inputdata!$E$4)^('inputdata(costs-benefits) '!I31-1))*0.7*0.4</f>
        <v>146725.88441220889</v>
      </c>
      <c r="J50" s="332">
        <f>(inputdata!$E$3)*((1+inputdata!$E$4)^('inputdata(costs-benefits) '!J31-1))*0.7*0.4</f>
        <v>148457.24984827291</v>
      </c>
      <c r="K50" s="332">
        <f>(inputdata!$E$3)*((1+inputdata!$E$4)^('inputdata(costs-benefits) '!K31-1))*0.7*0.4</f>
        <v>150209.04539648254</v>
      </c>
      <c r="L50" s="332">
        <f>(inputdata!$E$3)*((1+inputdata!$E$4)^('inputdata(costs-benefits) '!L31-1))*0.7*0.4</f>
        <v>151981.51213216109</v>
      </c>
      <c r="M50" s="332">
        <f>(inputdata!$E$3)*((1+inputdata!$E$4)^('inputdata(costs-benefits) '!M31-1))*0.7*0.4</f>
        <v>153774.89397532059</v>
      </c>
      <c r="N50" s="332">
        <f>(inputdata!$E$3)*((1+inputdata!$E$4)^('inputdata(costs-benefits) '!N31-1))*0.7*0.4</f>
        <v>155589.43772422936</v>
      </c>
      <c r="O50" s="332">
        <f>(inputdata!$E$3)*((1+inputdata!$E$4)^('inputdata(costs-benefits) '!O31-1))*0.7*0.4</f>
        <v>157425.39308937525</v>
      </c>
      <c r="P50" s="332">
        <f>(inputdata!$E$3)*((1+inputdata!$E$4)^('inputdata(costs-benefits) '!P31-1))*0.7*0.4</f>
        <v>159283.01272782992</v>
      </c>
      <c r="Q50" s="332">
        <f>(inputdata!$E$3)*((1+inputdata!$E$4)^('inputdata(costs-benefits) '!Q31-1))*0.7*0.4</f>
        <v>161162.55227801832</v>
      </c>
      <c r="R50" s="332">
        <f>(inputdata!$E$3)*((1+inputdata!$E$4)^('inputdata(costs-benefits) '!R31-1))*0.7*0.4</f>
        <v>163064.27039489889</v>
      </c>
      <c r="S50" s="332">
        <f>(inputdata!$E$3)*((1+inputdata!$E$4)^('inputdata(costs-benefits) '!S31-1))*0.7*0.4</f>
        <v>164988.42878555876</v>
      </c>
      <c r="T50" s="332">
        <f>(inputdata!$E$3)*((1+inputdata!$E$4)^('inputdata(costs-benefits) '!T31-1))*0.7*0.4</f>
        <v>166935.29224522834</v>
      </c>
      <c r="U50" s="332">
        <f>(inputdata!$E$3)*((1+inputdata!$E$4)^('inputdata(costs-benefits) '!U31-1))*0.7*0.4</f>
        <v>168905.12869372204</v>
      </c>
      <c r="V50" s="332">
        <f>(inputdata!$E$3)*((1+inputdata!$E$4)^('inputdata(costs-benefits) '!V31-1))*0.7*0.4</f>
        <v>170898.20921230796</v>
      </c>
      <c r="W50" s="332">
        <f>(inputdata!$E$3)*((1+inputdata!$E$4)^('inputdata(costs-benefits) '!W31-1))*0.7*0.4</f>
        <v>172914.80808101321</v>
      </c>
      <c r="X50" s="332">
        <f>(inputdata!$E$3)*((1+inputdata!$E$4)^('inputdata(costs-benefits) '!X31-1))*0.7*0.4</f>
        <v>174955.20281636913</v>
      </c>
      <c r="Y50" s="332">
        <f>(inputdata!$E$3)*((1+inputdata!$E$4)^('inputdata(costs-benefits) '!Y31-1))*0.7*0.4</f>
        <v>177019.67420960229</v>
      </c>
      <c r="Z50" s="332">
        <f>(inputdata!$E$3)*((1+inputdata!$E$4)^('inputdata(costs-benefits) '!Z31-1))*0.7*0.4</f>
        <v>179108.50636527559</v>
      </c>
      <c r="AA50" s="332">
        <f>(inputdata!$E$3)*((1+inputdata!$E$4)^('inputdata(costs-benefits) '!AA31-1))*0.7*0.4</f>
        <v>181221.98674038588</v>
      </c>
      <c r="AB50" s="332">
        <f>(inputdata!$E$3)*((1+inputdata!$E$4)^('inputdata(costs-benefits) '!AB31-1))*0.7*0.4</f>
        <v>183360.40618392246</v>
      </c>
      <c r="AC50" s="332">
        <f>(inputdata!$E$3)*((1+inputdata!$E$4)^('inputdata(costs-benefits) '!AC31-1))*0.7*0.4</f>
        <v>185524.05897689276</v>
      </c>
      <c r="AD50" s="332">
        <f>(inputdata!$E$3)*((1+inputdata!$E$4)^('inputdata(costs-benefits) '!AD31-1))*0.7*0.4</f>
        <v>187713.24287282006</v>
      </c>
      <c r="AE50" s="332">
        <f>(inputdata!$E$3)*((1+inputdata!$E$4)^('inputdata(costs-benefits) '!AE31-1))*0.7*0.4</f>
        <v>189928.25913871935</v>
      </c>
      <c r="AF50" s="332">
        <f>(inputdata!$E$3)*((1+inputdata!$E$4)^('inputdata(costs-benefits) '!AF31-1))*0.7*0.4</f>
        <v>192169.41259655627</v>
      </c>
      <c r="AG50" s="332">
        <f>(inputdata!$E$3)*((1+inputdata!$E$4)^('inputdata(costs-benefits) '!AG31-1))*0.7*0.4</f>
        <v>194437.01166519566</v>
      </c>
      <c r="AH50" s="332">
        <f>(inputdata!$E$3)*((1+inputdata!$E$4)^('inputdata(costs-benefits) '!AH31-1))*0.7*0.4</f>
        <v>196731.36840284491</v>
      </c>
      <c r="AI50"/>
      <c r="AJ50"/>
      <c r="AK50"/>
      <c r="AL50"/>
    </row>
    <row r="51" spans="1:38" x14ac:dyDescent="0.25">
      <c r="A51" s="442"/>
      <c r="B51" s="442"/>
      <c r="C51" s="320" t="s">
        <v>225</v>
      </c>
      <c r="D51" s="332">
        <v>371161372.39999998</v>
      </c>
      <c r="E51" s="332">
        <f>$D$51*0.02</f>
        <v>7423227.4479999999</v>
      </c>
      <c r="F51" s="332">
        <f t="shared" ref="F51:AH51" si="6">$D$51*0.02</f>
        <v>7423227.4479999999</v>
      </c>
      <c r="G51" s="332">
        <f t="shared" si="6"/>
        <v>7423227.4479999999</v>
      </c>
      <c r="H51" s="332">
        <f t="shared" si="6"/>
        <v>7423227.4479999999</v>
      </c>
      <c r="I51" s="332">
        <f t="shared" si="6"/>
        <v>7423227.4479999999</v>
      </c>
      <c r="J51" s="332">
        <f t="shared" si="6"/>
        <v>7423227.4479999999</v>
      </c>
      <c r="K51" s="332">
        <f t="shared" si="6"/>
        <v>7423227.4479999999</v>
      </c>
      <c r="L51" s="332">
        <f t="shared" si="6"/>
        <v>7423227.4479999999</v>
      </c>
      <c r="M51" s="332">
        <f t="shared" si="6"/>
        <v>7423227.4479999999</v>
      </c>
      <c r="N51" s="332">
        <f t="shared" si="6"/>
        <v>7423227.4479999999</v>
      </c>
      <c r="O51" s="332">
        <f t="shared" si="6"/>
        <v>7423227.4479999999</v>
      </c>
      <c r="P51" s="332">
        <f t="shared" si="6"/>
        <v>7423227.4479999999</v>
      </c>
      <c r="Q51" s="332">
        <f t="shared" si="6"/>
        <v>7423227.4479999999</v>
      </c>
      <c r="R51" s="332">
        <f t="shared" si="6"/>
        <v>7423227.4479999999</v>
      </c>
      <c r="S51" s="332">
        <f t="shared" si="6"/>
        <v>7423227.4479999999</v>
      </c>
      <c r="T51" s="332">
        <f t="shared" si="6"/>
        <v>7423227.4479999999</v>
      </c>
      <c r="U51" s="332">
        <f t="shared" si="6"/>
        <v>7423227.4479999999</v>
      </c>
      <c r="V51" s="332">
        <f t="shared" si="6"/>
        <v>7423227.4479999999</v>
      </c>
      <c r="W51" s="332">
        <f t="shared" si="6"/>
        <v>7423227.4479999999</v>
      </c>
      <c r="X51" s="332">
        <f t="shared" si="6"/>
        <v>7423227.4479999999</v>
      </c>
      <c r="Y51" s="332">
        <f t="shared" si="6"/>
        <v>7423227.4479999999</v>
      </c>
      <c r="Z51" s="332">
        <f t="shared" si="6"/>
        <v>7423227.4479999999</v>
      </c>
      <c r="AA51" s="332">
        <f t="shared" si="6"/>
        <v>7423227.4479999999</v>
      </c>
      <c r="AB51" s="332">
        <f t="shared" si="6"/>
        <v>7423227.4479999999</v>
      </c>
      <c r="AC51" s="332">
        <f t="shared" si="6"/>
        <v>7423227.4479999999</v>
      </c>
      <c r="AD51" s="332">
        <f t="shared" si="6"/>
        <v>7423227.4479999999</v>
      </c>
      <c r="AE51" s="332">
        <f t="shared" si="6"/>
        <v>7423227.4479999999</v>
      </c>
      <c r="AF51" s="332">
        <f t="shared" si="6"/>
        <v>7423227.4479999999</v>
      </c>
      <c r="AG51" s="332">
        <f t="shared" si="6"/>
        <v>7423227.4479999999</v>
      </c>
      <c r="AH51" s="332">
        <f t="shared" si="6"/>
        <v>7423227.4479999999</v>
      </c>
      <c r="AI51"/>
      <c r="AJ51"/>
      <c r="AK51"/>
      <c r="AL51"/>
    </row>
    <row r="52" spans="1:38" x14ac:dyDescent="0.25">
      <c r="A52" s="443"/>
      <c r="B52" s="443"/>
      <c r="C52" s="320" t="s">
        <v>320</v>
      </c>
      <c r="D52" s="332" t="s">
        <v>323</v>
      </c>
      <c r="E52" s="332">
        <f>(inputdata!$E$3*((1+inputdata!$E$4)^('inputdata(costs-benefits) '!E31-1))*0.7*0.24)*0.18*393.7*0.746*0.12/(3960*0.9*0.9)*24*365+18000+76000</f>
        <v>1549328.9910303033</v>
      </c>
      <c r="F52" s="332">
        <f>(inputdata!$E$3*((1+inputdata!$E$4)^('inputdata(costs-benefits) '!F31-1))*0.7*0.24)*0.18*393.7*0.746*0.12/(3960*0.9*0.9)*24*365+18000+76000</f>
        <v>1566501.8731244607</v>
      </c>
      <c r="G52" s="332">
        <f>(inputdata!$E$3*((1+inputdata!$E$4)^('inputdata(costs-benefits) '!G31-1))*0.7*0.24)*0.18*393.7*0.746*0.12/(3960*0.9*0.9)*24*365+18000+76000</f>
        <v>1583877.3952273293</v>
      </c>
      <c r="H52" s="332">
        <f>(inputdata!$E$3*((1+inputdata!$E$4)^('inputdata(costs-benefits) '!H31-1))*0.7*0.24)*0.18*393.7*0.746*0.12/(3960*0.9*0.9)*24*365+18000+76000</f>
        <v>1601457.9484910117</v>
      </c>
      <c r="I52" s="332">
        <f>(inputdata!$E$3*((1+inputdata!$E$4)^('inputdata(costs-benefits) '!I31-1))*0.7*0.24)*0.18*393.7*0.746*0.12/(3960*0.9*0.9)*24*365+18000+76000</f>
        <v>1619245.9522832057</v>
      </c>
      <c r="J52" s="332">
        <f>(inputdata!$E$3*((1+inputdata!$E$4)^('inputdata(costs-benefits) '!J31-1))*0.7*0.24)*0.18*393.7*0.746*0.12/(3960*0.9*0.9)*24*365+18000+76000</f>
        <v>1637243.8545201472</v>
      </c>
      <c r="K52" s="332">
        <f>(inputdata!$E$3*((1+inputdata!$E$4)^('inputdata(costs-benefits) '!K31-1))*0.7*0.24)*0.18*393.7*0.746*0.12/(3960*0.9*0.9)*24*365+18000+76000</f>
        <v>1655454.132003485</v>
      </c>
      <c r="L52" s="332">
        <f>(inputdata!$E$3*((1+inputdata!$E$4)^('inputdata(costs-benefits) '!L31-1))*0.7*0.24)*0.18*393.7*0.746*0.12/(3960*0.9*0.9)*24*365+18000+76000</f>
        <v>1673879.2907611267</v>
      </c>
      <c r="M52" s="332">
        <f>(inputdata!$E$3*((1+inputdata!$E$4)^('inputdata(costs-benefits) '!M31-1))*0.7*0.24)*0.18*393.7*0.746*0.12/(3960*0.9*0.9)*24*365+18000+76000</f>
        <v>1692521.8663921077</v>
      </c>
      <c r="N52" s="332">
        <f>(inputdata!$E$3*((1+inputdata!$E$4)^('inputdata(costs-benefits) '!N31-1))*0.7*0.24)*0.18*393.7*0.746*0.12/(3960*0.9*0.9)*24*365+18000+76000</f>
        <v>1711384.4244155341</v>
      </c>
      <c r="O52" s="332">
        <f>(inputdata!$E$3*((1+inputdata!$E$4)^('inputdata(costs-benefits) '!O31-1))*0.7*0.24)*0.18*393.7*0.746*0.12/(3960*0.9*0.9)*24*365+18000+76000</f>
        <v>1730469.5606236379</v>
      </c>
      <c r="P52" s="332">
        <f>(inputdata!$E$3*((1+inputdata!$E$4)^('inputdata(costs-benefits) '!P31-1))*0.7*0.24)*0.18*393.7*0.746*0.12/(3960*0.9*0.9)*24*365+18000+76000</f>
        <v>1749779.9014389971</v>
      </c>
      <c r="Q52" s="332">
        <f>(inputdata!$E$3*((1+inputdata!$E$4)^('inputdata(costs-benefits) '!Q31-1))*0.7*0.24)*0.18*393.7*0.746*0.12/(3960*0.9*0.9)*24*365+18000+76000</f>
        <v>1769318.104275977</v>
      </c>
      <c r="R52" s="332">
        <f>(inputdata!$E$3*((1+inputdata!$E$4)^('inputdata(costs-benefits) '!R31-1))*0.7*0.24)*0.18*393.7*0.746*0.12/(3960*0.9*0.9)*24*365+18000+76000</f>
        <v>1789086.8579064333</v>
      </c>
      <c r="S52" s="332">
        <f>(inputdata!$E$3*((1+inputdata!$E$4)^('inputdata(costs-benefits) '!S31-1))*0.7*0.24)*0.18*393.7*0.746*0.12/(3960*0.9*0.9)*24*365+18000+76000</f>
        <v>1809088.8828297299</v>
      </c>
      <c r="T52" s="332">
        <f>(inputdata!$E$3*((1+inputdata!$E$4)^('inputdata(costs-benefits) '!T31-1))*0.7*0.24)*0.18*393.7*0.746*0.12/(3960*0.9*0.9)*24*365+18000+76000</f>
        <v>1829326.9316471207</v>
      </c>
      <c r="U52" s="332">
        <f>(inputdata!$E$3*((1+inputdata!$E$4)^('inputdata(costs-benefits) '!U31-1))*0.7*0.24)*0.18*393.7*0.746*0.12/(3960*0.9*0.9)*24*365+18000+76000</f>
        <v>1849803.7894405564</v>
      </c>
      <c r="V52" s="332">
        <f>(inputdata!$E$3*((1+inputdata!$E$4)^('inputdata(costs-benefits) '!V31-1))*0.7*0.24)*0.18*393.7*0.746*0.12/(3960*0.9*0.9)*24*365+18000+76000</f>
        <v>1870522.2741559551</v>
      </c>
      <c r="W52" s="332">
        <f>(inputdata!$E$3*((1+inputdata!$E$4)^('inputdata(costs-benefits) '!W31-1))*0.7*0.24)*0.18*393.7*0.746*0.12/(3960*0.9*0.9)*24*365+18000+76000</f>
        <v>1891485.2369909959</v>
      </c>
      <c r="X52" s="332">
        <f>(inputdata!$E$3*((1+inputdata!$E$4)^('inputdata(costs-benefits) '!X31-1))*0.7*0.24)*0.18*393.7*0.746*0.12/(3960*0.9*0.9)*24*365+18000+76000</f>
        <v>1912695.562787489</v>
      </c>
      <c r="Y52" s="332">
        <f>(inputdata!$E$3*((1+inputdata!$E$4)^('inputdata(costs-benefits) '!Y31-1))*0.7*0.24)*0.18*393.7*0.746*0.12/(3960*0.9*0.9)*24*365+18000+76000</f>
        <v>1934156.1704283815</v>
      </c>
      <c r="Z52" s="332">
        <f>(inputdata!$E$3*((1+inputdata!$E$4)^('inputdata(costs-benefits) '!Z31-1))*0.7*0.24)*0.18*393.7*0.746*0.12/(3960*0.9*0.9)*24*365+18000+76000</f>
        <v>1955870.0132394368</v>
      </c>
      <c r="AA52" s="332">
        <f>(inputdata!$E$3*((1+inputdata!$E$4)^('inputdata(costs-benefits) '!AA31-1))*0.7*0.24)*0.18*393.7*0.746*0.12/(3960*0.9*0.9)*24*365+18000+76000</f>
        <v>1977840.0793956623</v>
      </c>
      <c r="AB52" s="332">
        <f>(inputdata!$E$3*((1+inputdata!$E$4)^('inputdata(costs-benefits) '!AB31-1))*0.7*0.24)*0.18*393.7*0.746*0.12/(3960*0.9*0.9)*24*365+18000+76000</f>
        <v>2000069.392332531</v>
      </c>
      <c r="AC52" s="332">
        <f>(inputdata!$E$3*((1+inputdata!$E$4)^('inputdata(costs-benefits) '!AC31-1))*0.7*0.24)*0.18*393.7*0.746*0.12/(3960*0.9*0.9)*24*365+18000+76000</f>
        <v>2022561.0111620552</v>
      </c>
      <c r="AD52" s="332">
        <f>(inputdata!$E$3*((1+inputdata!$E$4)^('inputdata(costs-benefits) '!AD31-1))*0.7*0.24)*0.18*393.7*0.746*0.12/(3960*0.9*0.9)*24*365+18000+76000</f>
        <v>2045318.0310937671</v>
      </c>
      <c r="AE52" s="332">
        <f>(inputdata!$E$3*((1+inputdata!$E$4)^('inputdata(costs-benefits) '!AE31-1))*0.7*0.24)*0.18*393.7*0.746*0.12/(3960*0.9*0.9)*24*365+18000+76000</f>
        <v>2068343.5838606737</v>
      </c>
      <c r="AF52" s="332">
        <f>(inputdata!$E$3*((1+inputdata!$E$4)^('inputdata(costs-benefits) '!AF31-1))*0.7*0.24)*0.18*393.7*0.746*0.12/(3960*0.9*0.9)*24*365+18000+76000</f>
        <v>2091640.83815023</v>
      </c>
      <c r="AG52" s="332">
        <f>(inputdata!$E$3*((1+inputdata!$E$4)^('inputdata(costs-benefits) '!AG31-1))*0.7*0.24)*0.18*393.7*0.746*0.12/(3960*0.9*0.9)*24*365+18000+76000</f>
        <v>2115213.0000404026</v>
      </c>
      <c r="AH52" s="332">
        <f>(inputdata!$E$3*((1+inputdata!$E$4)^('inputdata(costs-benefits) '!AH31-1))*0.7*0.24)*0.18*393.7*0.746*0.12/(3960*0.9*0.9)*24*365+18000+76000</f>
        <v>2139063.3134408789</v>
      </c>
      <c r="AI52"/>
      <c r="AJ52"/>
      <c r="AK52"/>
      <c r="AL52"/>
    </row>
    <row r="53" spans="1:38" ht="15.75" x14ac:dyDescent="0.25">
      <c r="A53" s="439"/>
      <c r="B53" s="439"/>
      <c r="C53" s="318" t="s">
        <v>184</v>
      </c>
      <c r="D53" s="319">
        <f>SUM(D50:D52)</f>
        <v>396161372.39999998</v>
      </c>
      <c r="E53" s="319">
        <f>SUM(E50:E52)</f>
        <v>9112556.4390303027</v>
      </c>
      <c r="F53" s="319">
        <f t="shared" ref="F53:AH53" si="7">SUM(F50:F52)</f>
        <v>9131381.3211244605</v>
      </c>
      <c r="G53" s="319">
        <f t="shared" si="7"/>
        <v>9150428.3368273284</v>
      </c>
      <c r="H53" s="319">
        <f t="shared" si="7"/>
        <v>9169700.1073154919</v>
      </c>
      <c r="I53" s="319">
        <f t="shared" si="7"/>
        <v>9189199.2846954148</v>
      </c>
      <c r="J53" s="319">
        <f t="shared" si="7"/>
        <v>9208928.5523684192</v>
      </c>
      <c r="K53" s="319">
        <f t="shared" si="7"/>
        <v>9228890.6253999677</v>
      </c>
      <c r="L53" s="319">
        <f t="shared" si="7"/>
        <v>9249088.2508932874</v>
      </c>
      <c r="M53" s="319">
        <f t="shared" si="7"/>
        <v>9269524.2083674278</v>
      </c>
      <c r="N53" s="319">
        <f t="shared" si="7"/>
        <v>9290201.3101397622</v>
      </c>
      <c r="O53" s="319">
        <f t="shared" si="7"/>
        <v>9311122.4017130136</v>
      </c>
      <c r="P53" s="319">
        <f t="shared" si="7"/>
        <v>9332290.3621668257</v>
      </c>
      <c r="Q53" s="319">
        <f t="shared" si="7"/>
        <v>9353708.1045539957</v>
      </c>
      <c r="R53" s="319">
        <f t="shared" si="7"/>
        <v>9375378.5763013326</v>
      </c>
      <c r="S53" s="319">
        <f t="shared" si="7"/>
        <v>9397304.759615289</v>
      </c>
      <c r="T53" s="319">
        <f t="shared" si="7"/>
        <v>9419489.6718923487</v>
      </c>
      <c r="U53" s="319">
        <f t="shared" si="7"/>
        <v>9441936.3661342785</v>
      </c>
      <c r="V53" s="319">
        <f t="shared" si="7"/>
        <v>9464647.9313682634</v>
      </c>
      <c r="W53" s="319">
        <f t="shared" si="7"/>
        <v>9487627.4930720087</v>
      </c>
      <c r="X53" s="319">
        <f t="shared" si="7"/>
        <v>9510878.2136038579</v>
      </c>
      <c r="Y53" s="319">
        <f t="shared" si="7"/>
        <v>9534403.2926379833</v>
      </c>
      <c r="Z53" s="319">
        <f t="shared" si="7"/>
        <v>9558205.9676047117</v>
      </c>
      <c r="AA53" s="319">
        <f t="shared" si="7"/>
        <v>9582289.514136048</v>
      </c>
      <c r="AB53" s="319">
        <f t="shared" si="7"/>
        <v>9606657.2465164531</v>
      </c>
      <c r="AC53" s="319">
        <f t="shared" si="7"/>
        <v>9631312.518138947</v>
      </c>
      <c r="AD53" s="319">
        <f t="shared" si="7"/>
        <v>9656258.721966587</v>
      </c>
      <c r="AE53" s="319">
        <f t="shared" si="7"/>
        <v>9681499.290999392</v>
      </c>
      <c r="AF53" s="319">
        <f t="shared" si="7"/>
        <v>9707037.6987467855</v>
      </c>
      <c r="AG53" s="319">
        <f t="shared" si="7"/>
        <v>9732877.4597055987</v>
      </c>
      <c r="AH53" s="319">
        <f t="shared" si="7"/>
        <v>9759022.129843723</v>
      </c>
      <c r="AI53"/>
      <c r="AJ53"/>
      <c r="AK53"/>
      <c r="AL53"/>
    </row>
    <row r="54" spans="1:38" ht="14.25" customHeight="1" x14ac:dyDescent="0.25">
      <c r="A54" s="438" t="str">
        <f>inputdata!A44</f>
        <v>treatment plant (Conventional activated sludge+ disinfection)</v>
      </c>
      <c r="B54" s="438" t="str">
        <f>inputdata!B44</f>
        <v>T6</v>
      </c>
      <c r="C54" s="320" t="s">
        <v>226</v>
      </c>
      <c r="D54" s="332">
        <v>75000000</v>
      </c>
      <c r="E54" s="332">
        <f>(inputdata!$E$3-125000)*((1+inputdata!$E$4)^('inputdata(costs-benefits) '!E31-1))*0.7*8</f>
        <v>2100000</v>
      </c>
      <c r="F54" s="332">
        <f>(inputdata!$E$3-125000)*((1+inputdata!$E$4)^('inputdata(costs-benefits) '!F31-1))*0.7*8</f>
        <v>2124780</v>
      </c>
      <c r="G54" s="332">
        <f>(inputdata!$E$3-125000)*((1+inputdata!$E$4)^('inputdata(costs-benefits) '!G31-1))*0.7*8</f>
        <v>2149852.4040000001</v>
      </c>
      <c r="H54" s="332">
        <f>(inputdata!$E$3-125000)*((1+inputdata!$E$4)^('inputdata(costs-benefits) '!H31-1))*0.7*8</f>
        <v>2175220.6623672</v>
      </c>
      <c r="I54" s="332">
        <f>(inputdata!$E$3-125000)*((1+inputdata!$E$4)^('inputdata(costs-benefits) '!I31-1))*0.7*8</f>
        <v>2200888.2661831332</v>
      </c>
      <c r="J54" s="332">
        <f>(inputdata!$E$3-125000)*((1+inputdata!$E$4)^('inputdata(costs-benefits) '!J31-1))*0.7*8</f>
        <v>2226858.747724094</v>
      </c>
      <c r="K54" s="332">
        <f>(inputdata!$E$3-125000)*((1+inputdata!$E$4)^('inputdata(costs-benefits) '!K31-1))*0.7*8</f>
        <v>2253135.6809472381</v>
      </c>
      <c r="L54" s="332">
        <f>(inputdata!$E$3-125000)*((1+inputdata!$E$4)^('inputdata(costs-benefits) '!L31-1))*0.7*8</f>
        <v>2279722.6819824162</v>
      </c>
      <c r="M54" s="332">
        <f>(inputdata!$E$3-125000)*((1+inputdata!$E$4)^('inputdata(costs-benefits) '!M31-1))*0.7*8</f>
        <v>2306623.4096298087</v>
      </c>
      <c r="N54" s="332">
        <f>(inputdata!$E$3-125000)*((1+inputdata!$E$4)^('inputdata(costs-benefits) '!N31-1))*0.7*8</f>
        <v>2333841.5658634403</v>
      </c>
      <c r="O54" s="332">
        <f>(inputdata!$E$3-125000)*((1+inputdata!$E$4)^('inputdata(costs-benefits) '!O31-1))*0.7*8</f>
        <v>2361380.8963406291</v>
      </c>
      <c r="P54" s="332">
        <f>(inputdata!$E$3-125000)*((1+inputdata!$E$4)^('inputdata(costs-benefits) '!P31-1))*0.7*8</f>
        <v>2389245.1909174486</v>
      </c>
      <c r="Q54" s="332">
        <f>(inputdata!$E$3-125000)*((1+inputdata!$E$4)^('inputdata(costs-benefits) '!Q31-1))*0.7*8</f>
        <v>2417438.2841702746</v>
      </c>
      <c r="R54" s="332">
        <f>(inputdata!$E$3-125000)*((1+inputdata!$E$4)^('inputdata(costs-benefits) '!R31-1))*0.7*8</f>
        <v>2445964.0559234833</v>
      </c>
      <c r="S54" s="332">
        <f>(inputdata!$E$3-125000)*((1+inputdata!$E$4)^('inputdata(costs-benefits) '!S31-1))*0.7*8</f>
        <v>2474826.4317833805</v>
      </c>
      <c r="T54" s="332">
        <f>(inputdata!$E$3-125000)*((1+inputdata!$E$4)^('inputdata(costs-benefits) '!T31-1))*0.7*8</f>
        <v>2504029.3836784251</v>
      </c>
      <c r="U54" s="332">
        <f>(inputdata!$E$3-125000)*((1+inputdata!$E$4)^('inputdata(costs-benefits) '!U31-1))*0.7*8</f>
        <v>2533576.9304058305</v>
      </c>
      <c r="V54" s="332">
        <f>(inputdata!$E$3-125000)*((1+inputdata!$E$4)^('inputdata(costs-benefits) '!V31-1))*0.7*8</f>
        <v>2563473.1381846191</v>
      </c>
      <c r="W54" s="332">
        <f>(inputdata!$E$3-125000)*((1+inputdata!$E$4)^('inputdata(costs-benefits) '!W31-1))*0.7*8</f>
        <v>2593722.1212151977</v>
      </c>
      <c r="X54" s="332">
        <f>(inputdata!$E$3-125000)*((1+inputdata!$E$4)^('inputdata(costs-benefits) '!X31-1))*0.7*8</f>
        <v>2624328.042245537</v>
      </c>
      <c r="Y54" s="332">
        <f>(inputdata!$E$3-125000)*((1+inputdata!$E$4)^('inputdata(costs-benefits) '!Y31-1))*0.7*8</f>
        <v>2655295.1131440345</v>
      </c>
      <c r="Z54" s="332">
        <f>(inputdata!$E$3-125000)*((1+inputdata!$E$4)^('inputdata(costs-benefits) '!Z31-1))*0.7*8</f>
        <v>2686627.595479134</v>
      </c>
      <c r="AA54" s="332">
        <f>(inputdata!$E$3-125000)*((1+inputdata!$E$4)^('inputdata(costs-benefits) '!AA31-1))*0.7*8</f>
        <v>2718329.801105788</v>
      </c>
      <c r="AB54" s="332">
        <f>(inputdata!$E$3-125000)*((1+inputdata!$E$4)^('inputdata(costs-benefits) '!AB31-1))*0.7*8</f>
        <v>2750406.0927588367</v>
      </c>
      <c r="AC54" s="332">
        <f>(inputdata!$E$3-125000)*((1+inputdata!$E$4)^('inputdata(costs-benefits) '!AC31-1))*0.7*8</f>
        <v>2782860.8846533913</v>
      </c>
      <c r="AD54" s="332">
        <f>(inputdata!$E$3-125000)*((1+inputdata!$E$4)^('inputdata(costs-benefits) '!AD31-1))*0.7*8</f>
        <v>2815698.6430923007</v>
      </c>
      <c r="AE54" s="332">
        <f>(inputdata!$E$3-125000)*((1+inputdata!$E$4)^('inputdata(costs-benefits) '!AE31-1))*0.7*8</f>
        <v>2848923.88708079</v>
      </c>
      <c r="AF54" s="332">
        <f>(inputdata!$E$3-125000)*((1+inputdata!$E$4)^('inputdata(costs-benefits) '!AF31-1))*0.7*8</f>
        <v>2882541.188948344</v>
      </c>
      <c r="AG54" s="332">
        <f>(inputdata!$E$3-125000)*((1+inputdata!$E$4)^('inputdata(costs-benefits) '!AG31-1))*0.7*8</f>
        <v>2916555.1749779345</v>
      </c>
      <c r="AH54" s="332">
        <f>(inputdata!$E$3-125000)*((1+inputdata!$E$4)^('inputdata(costs-benefits) '!AH31-1))*0.7*8</f>
        <v>2950970.5260426733</v>
      </c>
      <c r="AI54"/>
      <c r="AJ54"/>
      <c r="AK54"/>
      <c r="AL54"/>
    </row>
    <row r="55" spans="1:38" ht="17.25" customHeight="1" x14ac:dyDescent="0.25">
      <c r="A55" s="438"/>
      <c r="B55" s="438"/>
      <c r="C55" s="320" t="s">
        <v>225</v>
      </c>
      <c r="D55" s="332">
        <v>371161372.39999998</v>
      </c>
      <c r="E55" s="332">
        <f>$D$55*0.02</f>
        <v>7423227.4479999999</v>
      </c>
      <c r="F55" s="332">
        <f t="shared" ref="F55:AH55" si="8">$D$55*0.02</f>
        <v>7423227.4479999999</v>
      </c>
      <c r="G55" s="332">
        <f t="shared" si="8"/>
        <v>7423227.4479999999</v>
      </c>
      <c r="H55" s="332">
        <f t="shared" si="8"/>
        <v>7423227.4479999999</v>
      </c>
      <c r="I55" s="332">
        <f t="shared" si="8"/>
        <v>7423227.4479999999</v>
      </c>
      <c r="J55" s="332">
        <f t="shared" si="8"/>
        <v>7423227.4479999999</v>
      </c>
      <c r="K55" s="332">
        <f t="shared" si="8"/>
        <v>7423227.4479999999</v>
      </c>
      <c r="L55" s="332">
        <f t="shared" si="8"/>
        <v>7423227.4479999999</v>
      </c>
      <c r="M55" s="332">
        <f t="shared" si="8"/>
        <v>7423227.4479999999</v>
      </c>
      <c r="N55" s="332">
        <f t="shared" si="8"/>
        <v>7423227.4479999999</v>
      </c>
      <c r="O55" s="332">
        <f t="shared" si="8"/>
        <v>7423227.4479999999</v>
      </c>
      <c r="P55" s="332">
        <f t="shared" si="8"/>
        <v>7423227.4479999999</v>
      </c>
      <c r="Q55" s="332">
        <f t="shared" si="8"/>
        <v>7423227.4479999999</v>
      </c>
      <c r="R55" s="332">
        <f t="shared" si="8"/>
        <v>7423227.4479999999</v>
      </c>
      <c r="S55" s="332">
        <f t="shared" si="8"/>
        <v>7423227.4479999999</v>
      </c>
      <c r="T55" s="332">
        <f t="shared" si="8"/>
        <v>7423227.4479999999</v>
      </c>
      <c r="U55" s="332">
        <f t="shared" si="8"/>
        <v>7423227.4479999999</v>
      </c>
      <c r="V55" s="332">
        <f t="shared" si="8"/>
        <v>7423227.4479999999</v>
      </c>
      <c r="W55" s="332">
        <f t="shared" si="8"/>
        <v>7423227.4479999999</v>
      </c>
      <c r="X55" s="332">
        <f t="shared" si="8"/>
        <v>7423227.4479999999</v>
      </c>
      <c r="Y55" s="332">
        <f t="shared" si="8"/>
        <v>7423227.4479999999</v>
      </c>
      <c r="Z55" s="332">
        <f t="shared" si="8"/>
        <v>7423227.4479999999</v>
      </c>
      <c r="AA55" s="332">
        <f t="shared" si="8"/>
        <v>7423227.4479999999</v>
      </c>
      <c r="AB55" s="332">
        <f t="shared" si="8"/>
        <v>7423227.4479999999</v>
      </c>
      <c r="AC55" s="332">
        <f t="shared" si="8"/>
        <v>7423227.4479999999</v>
      </c>
      <c r="AD55" s="332">
        <f t="shared" si="8"/>
        <v>7423227.4479999999</v>
      </c>
      <c r="AE55" s="332">
        <f t="shared" si="8"/>
        <v>7423227.4479999999</v>
      </c>
      <c r="AF55" s="332">
        <f t="shared" si="8"/>
        <v>7423227.4479999999</v>
      </c>
      <c r="AG55" s="332">
        <f t="shared" si="8"/>
        <v>7423227.4479999999</v>
      </c>
      <c r="AH55" s="332">
        <f t="shared" si="8"/>
        <v>7423227.4479999999</v>
      </c>
      <c r="AI55"/>
      <c r="AJ55"/>
      <c r="AK55"/>
      <c r="AL55"/>
    </row>
    <row r="56" spans="1:38" ht="15.75" customHeight="1" x14ac:dyDescent="0.25">
      <c r="A56" s="438"/>
      <c r="B56" s="438"/>
      <c r="C56" s="320" t="s">
        <v>320</v>
      </c>
      <c r="D56" s="332">
        <f>47427593.43+2806345.16</f>
        <v>50233938.590000004</v>
      </c>
      <c r="E56" s="332">
        <f>(inputdata!$E$3*0.7*0.24)*((1+inputdata!$E$4)^('inputdata(costs-benefits) '!E31-1))*0.18*393.7*0.746*0.12/(3960*0.9*0.9)*24*365+18000+76000</f>
        <v>1549328.9910303033</v>
      </c>
      <c r="F56" s="332">
        <f>(inputdata!$E$3*0.7*0.24)*((1+inputdata!$E$4)^('inputdata(costs-benefits) '!F31-1))*0.18*393.7*0.746*0.12/(3960*0.9*0.9)*24*365+18000+76000</f>
        <v>1566501.8731244607</v>
      </c>
      <c r="G56" s="332">
        <f>(inputdata!$E$3*0.7*0.24)*((1+inputdata!$E$4)^('inputdata(costs-benefits) '!G31-1))*0.18*393.7*0.746*0.12/(3960*0.9*0.9)*24*365+18000+76000</f>
        <v>1583877.3952273293</v>
      </c>
      <c r="H56" s="332">
        <f>(inputdata!$E$3*0.7*0.24)*((1+inputdata!$E$4)^('inputdata(costs-benefits) '!H31-1))*0.18*393.7*0.746*0.12/(3960*0.9*0.9)*24*365+18000+76000</f>
        <v>1601457.9484910117</v>
      </c>
      <c r="I56" s="332">
        <f>(inputdata!$E$3*0.7*0.24)*((1+inputdata!$E$4)^('inputdata(costs-benefits) '!I31-1))*0.18*393.7*0.746*0.12/(3960*0.9*0.9)*24*365+18000+76000</f>
        <v>1619245.9522832057</v>
      </c>
      <c r="J56" s="332">
        <f>(inputdata!$E$3*0.7*0.24)*((1+inputdata!$E$4)^('inputdata(costs-benefits) '!J31-1))*0.18*393.7*0.746*0.12/(3960*0.9*0.9)*24*365+18000+76000</f>
        <v>1637243.8545201477</v>
      </c>
      <c r="K56" s="332">
        <f>(inputdata!$E$3*0.7*0.24)*((1+inputdata!$E$4)^('inputdata(costs-benefits) '!K31-1))*0.18*393.7*0.746*0.12/(3960*0.9*0.9)*24*365+18000+76000</f>
        <v>1655454.132003485</v>
      </c>
      <c r="L56" s="332">
        <f>(inputdata!$E$3*0.7*0.24)*((1+inputdata!$E$4)^('inputdata(costs-benefits) '!L31-1))*0.18*393.7*0.746*0.12/(3960*0.9*0.9)*24*365+18000+76000</f>
        <v>1673879.2907611267</v>
      </c>
      <c r="M56" s="332">
        <f>(inputdata!$E$3*0.7*0.24)*((1+inputdata!$E$4)^('inputdata(costs-benefits) '!M31-1))*0.18*393.7*0.746*0.12/(3960*0.9*0.9)*24*365+18000+76000</f>
        <v>1692521.8663921079</v>
      </c>
      <c r="N56" s="332">
        <f>(inputdata!$E$3*0.7*0.24)*((1+inputdata!$E$4)^('inputdata(costs-benefits) '!N31-1))*0.18*393.7*0.746*0.12/(3960*0.9*0.9)*24*365+18000+76000</f>
        <v>1711384.4244155346</v>
      </c>
      <c r="O56" s="332">
        <f>(inputdata!$E$3*0.7*0.24)*((1+inputdata!$E$4)^('inputdata(costs-benefits) '!O31-1))*0.18*393.7*0.746*0.12/(3960*0.9*0.9)*24*365+18000+76000</f>
        <v>1730469.5606236379</v>
      </c>
      <c r="P56" s="332">
        <f>(inputdata!$E$3*0.7*0.24)*((1+inputdata!$E$4)^('inputdata(costs-benefits) '!P31-1))*0.18*393.7*0.746*0.12/(3960*0.9*0.9)*24*365+18000+76000</f>
        <v>1749779.9014389971</v>
      </c>
      <c r="Q56" s="332">
        <f>(inputdata!$E$3*0.7*0.24)*((1+inputdata!$E$4)^('inputdata(costs-benefits) '!Q31-1))*0.18*393.7*0.746*0.12/(3960*0.9*0.9)*24*365+18000+76000</f>
        <v>1769318.104275977</v>
      </c>
      <c r="R56" s="332">
        <f>(inputdata!$E$3*0.7*0.24)*((1+inputdata!$E$4)^('inputdata(costs-benefits) '!R31-1))*0.18*393.7*0.746*0.12/(3960*0.9*0.9)*24*365+18000+76000</f>
        <v>1789086.8579064333</v>
      </c>
      <c r="S56" s="332">
        <f>(inputdata!$E$3*0.7*0.24)*((1+inputdata!$E$4)^('inputdata(costs-benefits) '!S31-1))*0.18*393.7*0.746*0.12/(3960*0.9*0.9)*24*365+18000+76000</f>
        <v>1809088.8828297299</v>
      </c>
      <c r="T56" s="332">
        <f>(inputdata!$E$3*0.7*0.24)*((1+inputdata!$E$4)^('inputdata(costs-benefits) '!T31-1))*0.18*393.7*0.746*0.12/(3960*0.9*0.9)*24*365+18000+76000</f>
        <v>1829326.9316471207</v>
      </c>
      <c r="U56" s="332">
        <f>(inputdata!$E$3*0.7*0.24)*((1+inputdata!$E$4)^('inputdata(costs-benefits) '!U31-1))*0.18*393.7*0.746*0.12/(3960*0.9*0.9)*24*365+18000+76000</f>
        <v>1849803.7894405564</v>
      </c>
      <c r="V56" s="332">
        <f>(inputdata!$E$3*0.7*0.24)*((1+inputdata!$E$4)^('inputdata(costs-benefits) '!V31-1))*0.18*393.7*0.746*0.12/(3960*0.9*0.9)*24*365+18000+76000</f>
        <v>1870522.2741559551</v>
      </c>
      <c r="W56" s="332">
        <f>(inputdata!$E$3*0.7*0.24)*((1+inputdata!$E$4)^('inputdata(costs-benefits) '!W31-1))*0.18*393.7*0.746*0.12/(3960*0.9*0.9)*24*365+18000+76000</f>
        <v>1891485.2369909959</v>
      </c>
      <c r="X56" s="332">
        <f>(inputdata!$E$3*0.7*0.24)*((1+inputdata!$E$4)^('inputdata(costs-benefits) '!X31-1))*0.18*393.7*0.746*0.12/(3960*0.9*0.9)*24*365+18000+76000</f>
        <v>1912695.5627874895</v>
      </c>
      <c r="Y56" s="332">
        <f>(inputdata!$E$3*0.7*0.24)*((1+inputdata!$E$4)^('inputdata(costs-benefits) '!Y31-1))*0.18*393.7*0.746*0.12/(3960*0.9*0.9)*24*365+18000+76000</f>
        <v>1934156.1704283818</v>
      </c>
      <c r="Z56" s="332">
        <f>(inputdata!$E$3*0.7*0.24)*((1+inputdata!$E$4)^('inputdata(costs-benefits) '!Z31-1))*0.18*393.7*0.746*0.12/(3960*0.9*0.9)*24*365+18000+76000</f>
        <v>1955870.0132394368</v>
      </c>
      <c r="AA56" s="332">
        <f>(inputdata!$E$3*0.7*0.24)*((1+inputdata!$E$4)^('inputdata(costs-benefits) '!AA31-1))*0.18*393.7*0.746*0.12/(3960*0.9*0.9)*24*365+18000+76000</f>
        <v>1977840.0793956623</v>
      </c>
      <c r="AB56" s="332">
        <f>(inputdata!$E$3*0.7*0.24)*((1+inputdata!$E$4)^('inputdata(costs-benefits) '!AB31-1))*0.18*393.7*0.746*0.12/(3960*0.9*0.9)*24*365+18000+76000</f>
        <v>2000069.3923325315</v>
      </c>
      <c r="AC56" s="332">
        <f>(inputdata!$E$3*0.7*0.24)*((1+inputdata!$E$4)^('inputdata(costs-benefits) '!AC31-1))*0.18*393.7*0.746*0.12/(3960*0.9*0.9)*24*365+18000+76000</f>
        <v>2022561.0111620552</v>
      </c>
      <c r="AD56" s="332">
        <f>(inputdata!$E$3*0.7*0.24)*((1+inputdata!$E$4)^('inputdata(costs-benefits) '!AD31-1))*0.18*393.7*0.746*0.12/(3960*0.9*0.9)*24*365+18000+76000</f>
        <v>2045318.0310937678</v>
      </c>
      <c r="AE56" s="332">
        <f>(inputdata!$E$3*0.7*0.24)*((1+inputdata!$E$4)^('inputdata(costs-benefits) '!AE31-1))*0.18*393.7*0.746*0.12/(3960*0.9*0.9)*24*365+18000+76000</f>
        <v>2068343.5838606737</v>
      </c>
      <c r="AF56" s="332">
        <f>(inputdata!$E$3*0.7*0.24)*((1+inputdata!$E$4)^('inputdata(costs-benefits) '!AF31-1))*0.18*393.7*0.746*0.12/(3960*0.9*0.9)*24*365+18000+76000</f>
        <v>2091640.8381502307</v>
      </c>
      <c r="AG56" s="332">
        <f>(inputdata!$E$3*0.7*0.24)*((1+inputdata!$E$4)^('inputdata(costs-benefits) '!AG31-1))*0.18*393.7*0.746*0.12/(3960*0.9*0.9)*24*365+18000+76000</f>
        <v>2115213.0000404031</v>
      </c>
      <c r="AH56" s="332">
        <f>(inputdata!$E$3*0.7*0.24)*((1+inputdata!$E$4)^('inputdata(costs-benefits) '!AH31-1))*0.18*393.7*0.746*0.12/(3960*0.9*0.9)*24*365+18000+76000</f>
        <v>2139063.3134408789</v>
      </c>
      <c r="AI56"/>
      <c r="AJ56"/>
      <c r="AK56"/>
      <c r="AL56"/>
    </row>
    <row r="57" spans="1:38" ht="15.75" x14ac:dyDescent="0.25">
      <c r="A57" s="439"/>
      <c r="B57" s="439"/>
      <c r="C57" s="318" t="s">
        <v>184</v>
      </c>
      <c r="D57" s="319">
        <f>SUM(D54:D56)</f>
        <v>496395310.99000001</v>
      </c>
      <c r="E57" s="319">
        <f>SUM(E54:E56)</f>
        <v>11072556.439030303</v>
      </c>
      <c r="F57" s="319">
        <f>SUM(F54:F56)</f>
        <v>11114509.321124461</v>
      </c>
      <c r="G57" s="319">
        <f t="shared" ref="G57:AH57" si="9">SUM(G54:G56)</f>
        <v>11156957.24722733</v>
      </c>
      <c r="H57" s="319">
        <f t="shared" si="9"/>
        <v>11199906.058858212</v>
      </c>
      <c r="I57" s="319">
        <f t="shared" si="9"/>
        <v>11243361.666466339</v>
      </c>
      <c r="J57" s="319">
        <f t="shared" si="9"/>
        <v>11287330.050244242</v>
      </c>
      <c r="K57" s="319">
        <f t="shared" si="9"/>
        <v>11331817.260950722</v>
      </c>
      <c r="L57" s="319">
        <f t="shared" si="9"/>
        <v>11376829.420743542</v>
      </c>
      <c r="M57" s="319">
        <f t="shared" si="9"/>
        <v>11422372.724021917</v>
      </c>
      <c r="N57" s="319">
        <f t="shared" si="9"/>
        <v>11468453.438278975</v>
      </c>
      <c r="O57" s="319">
        <f t="shared" si="9"/>
        <v>11515077.904964268</v>
      </c>
      <c r="P57" s="319">
        <f t="shared" si="9"/>
        <v>11562252.540356446</v>
      </c>
      <c r="Q57" s="319">
        <f t="shared" si="9"/>
        <v>11609983.836446252</v>
      </c>
      <c r="R57" s="319">
        <f t="shared" si="9"/>
        <v>11658278.361829916</v>
      </c>
      <c r="S57" s="319">
        <f t="shared" si="9"/>
        <v>11707142.76261311</v>
      </c>
      <c r="T57" s="319">
        <f t="shared" si="9"/>
        <v>11756583.763325544</v>
      </c>
      <c r="U57" s="319">
        <f t="shared" si="9"/>
        <v>11806608.167846385</v>
      </c>
      <c r="V57" s="319">
        <f t="shared" si="9"/>
        <v>11857222.860340575</v>
      </c>
      <c r="W57" s="319">
        <f t="shared" si="9"/>
        <v>11908434.806206193</v>
      </c>
      <c r="X57" s="319">
        <f t="shared" si="9"/>
        <v>11960251.053033026</v>
      </c>
      <c r="Y57" s="319">
        <f t="shared" si="9"/>
        <v>12012678.731572418</v>
      </c>
      <c r="Z57" s="319">
        <f t="shared" si="9"/>
        <v>12065725.056718569</v>
      </c>
      <c r="AA57" s="319">
        <f t="shared" si="9"/>
        <v>12119397.328501452</v>
      </c>
      <c r="AB57" s="319">
        <f t="shared" si="9"/>
        <v>12173702.933091369</v>
      </c>
      <c r="AC57" s="319">
        <f t="shared" si="9"/>
        <v>12228649.343815448</v>
      </c>
      <c r="AD57" s="319">
        <f t="shared" si="9"/>
        <v>12284244.122186068</v>
      </c>
      <c r="AE57" s="319">
        <f t="shared" si="9"/>
        <v>12340494.918941462</v>
      </c>
      <c r="AF57" s="319">
        <f t="shared" si="9"/>
        <v>12397409.475098575</v>
      </c>
      <c r="AG57" s="319">
        <f t="shared" si="9"/>
        <v>12454995.623018337</v>
      </c>
      <c r="AH57" s="319">
        <f t="shared" si="9"/>
        <v>12513261.287483551</v>
      </c>
      <c r="AI57"/>
      <c r="AJ57"/>
      <c r="AK57"/>
      <c r="AL57"/>
    </row>
    <row r="58" spans="1:38" ht="15" customHeight="1" x14ac:dyDescent="0.25">
      <c r="A58" s="449" t="str">
        <f>inputdata!A45</f>
        <v>Activated sludge+ Biological Nitrogen Removal (MLE)+ disinfection</v>
      </c>
      <c r="B58" s="449" t="str">
        <f>inputdata!B45</f>
        <v>T7</v>
      </c>
      <c r="C58" s="320" t="s">
        <v>226</v>
      </c>
      <c r="D58" s="332">
        <f>75000000*1.2</f>
        <v>90000000</v>
      </c>
      <c r="E58" s="332">
        <f>(inputdata!$E$3-125000)*((1+inputdata!$E$4)^('inputdata(costs-benefits) '!E31-1))*0.7*8*1.2</f>
        <v>2520000</v>
      </c>
      <c r="F58" s="332">
        <f>(inputdata!$E$3-125000)*((1+inputdata!$E$4)^('inputdata(costs-benefits) '!F31-1))*0.7*8*1.2</f>
        <v>2549736</v>
      </c>
      <c r="G58" s="332">
        <f>(inputdata!$E$3-125000)*((1+inputdata!$E$4)^('inputdata(costs-benefits) '!G31-1))*0.7*8*1.2</f>
        <v>2579822.8848000001</v>
      </c>
      <c r="H58" s="332">
        <f>(inputdata!$E$3-125000)*((1+inputdata!$E$4)^('inputdata(costs-benefits) '!H31-1))*0.7*8*1.2</f>
        <v>2610264.7948406399</v>
      </c>
      <c r="I58" s="332">
        <f>(inputdata!$E$3-125000)*((1+inputdata!$E$4)^('inputdata(costs-benefits) '!I31-1))*0.7*8*1.2</f>
        <v>2641065.9194197599</v>
      </c>
      <c r="J58" s="332">
        <f>(inputdata!$E$3-125000)*((1+inputdata!$E$4)^('inputdata(costs-benefits) '!J31-1))*0.7*8*1.2</f>
        <v>2672230.4972689128</v>
      </c>
      <c r="K58" s="332">
        <f>(inputdata!$E$3-125000)*((1+inputdata!$E$4)^('inputdata(costs-benefits) '!K31-1))*0.7*8*1.2</f>
        <v>2703762.8171366858</v>
      </c>
      <c r="L58" s="332">
        <f>(inputdata!$E$3-125000)*((1+inputdata!$E$4)^('inputdata(costs-benefits) '!L31-1))*0.7*8*1.2</f>
        <v>2735667.2183788992</v>
      </c>
      <c r="M58" s="332">
        <f>(inputdata!$E$3-125000)*((1+inputdata!$E$4)^('inputdata(costs-benefits) '!M31-1))*0.7*8*1.2</f>
        <v>2767948.0915557705</v>
      </c>
      <c r="N58" s="332">
        <f>(inputdata!$E$3-125000)*((1+inputdata!$E$4)^('inputdata(costs-benefits) '!N31-1))*0.7*8*1.2</f>
        <v>2800609.8790361281</v>
      </c>
      <c r="O58" s="332">
        <f>(inputdata!$E$3-125000)*((1+inputdata!$E$4)^('inputdata(costs-benefits) '!O31-1))*0.7*8*1.2</f>
        <v>2833657.075608755</v>
      </c>
      <c r="P58" s="332">
        <f>(inputdata!$E$3-125000)*((1+inputdata!$E$4)^('inputdata(costs-benefits) '!P31-1))*0.7*8*1.2</f>
        <v>2867094.2291009384</v>
      </c>
      <c r="Q58" s="332">
        <f>(inputdata!$E$3-125000)*((1+inputdata!$E$4)^('inputdata(costs-benefits) '!Q31-1))*0.7*8*1.2</f>
        <v>2900925.9410043294</v>
      </c>
      <c r="R58" s="332">
        <f>(inputdata!$E$3-125000)*((1+inputdata!$E$4)^('inputdata(costs-benefits) '!R31-1))*0.7*8*1.2</f>
        <v>2935156.8671081797</v>
      </c>
      <c r="S58" s="332">
        <f>(inputdata!$E$3-125000)*((1+inputdata!$E$4)^('inputdata(costs-benefits) '!S31-1))*0.7*8*1.2</f>
        <v>2969791.7181400564</v>
      </c>
      <c r="T58" s="332">
        <f>(inputdata!$E$3-125000)*((1+inputdata!$E$4)^('inputdata(costs-benefits) '!T31-1))*0.7*8*1.2</f>
        <v>3004835.26041411</v>
      </c>
      <c r="U58" s="332">
        <f>(inputdata!$E$3-125000)*((1+inputdata!$E$4)^('inputdata(costs-benefits) '!U31-1))*0.7*8*1.2</f>
        <v>3040292.3164869966</v>
      </c>
      <c r="V58" s="332">
        <f>(inputdata!$E$3-125000)*((1+inputdata!$E$4)^('inputdata(costs-benefits) '!V31-1))*0.7*8*1.2</f>
        <v>3076167.7658215431</v>
      </c>
      <c r="W58" s="332">
        <f>(inputdata!$E$3-125000)*((1+inputdata!$E$4)^('inputdata(costs-benefits) '!W31-1))*0.7*8*1.2</f>
        <v>3112466.5454582372</v>
      </c>
      <c r="X58" s="332">
        <f>(inputdata!$E$3-125000)*((1+inputdata!$E$4)^('inputdata(costs-benefits) '!X31-1))*0.7*8*1.2</f>
        <v>3149193.6506946445</v>
      </c>
      <c r="Y58" s="332">
        <f>(inputdata!$E$3-125000)*((1+inputdata!$E$4)^('inputdata(costs-benefits) '!Y31-1))*0.7*8*1.2</f>
        <v>3186354.1357728415</v>
      </c>
      <c r="Z58" s="332">
        <f>(inputdata!$E$3-125000)*((1+inputdata!$E$4)^('inputdata(costs-benefits) '!Z31-1))*0.7*8*1.2</f>
        <v>3223953.1145749609</v>
      </c>
      <c r="AA58" s="332">
        <f>(inputdata!$E$3-125000)*((1+inputdata!$E$4)^('inputdata(costs-benefits) '!AA31-1))*0.7*8*1.2</f>
        <v>3261995.7613269454</v>
      </c>
      <c r="AB58" s="332">
        <f>(inputdata!$E$3-125000)*((1+inputdata!$E$4)^('inputdata(costs-benefits) '!AB31-1))*0.7*8*1.2</f>
        <v>3300487.3113106037</v>
      </c>
      <c r="AC58" s="332">
        <f>(inputdata!$E$3-125000)*((1+inputdata!$E$4)^('inputdata(costs-benefits) '!AC31-1))*0.7*8*1.2</f>
        <v>3339433.0615840694</v>
      </c>
      <c r="AD58" s="332">
        <f>(inputdata!$E$3-125000)*((1+inputdata!$E$4)^('inputdata(costs-benefits) '!AD31-1))*0.7*8*1.2</f>
        <v>3378838.371710761</v>
      </c>
      <c r="AE58" s="332">
        <f>(inputdata!$E$3-125000)*((1+inputdata!$E$4)^('inputdata(costs-benefits) '!AE31-1))*0.7*8*1.2</f>
        <v>3418708.664496948</v>
      </c>
      <c r="AF58" s="332">
        <f>(inputdata!$E$3-125000)*((1+inputdata!$E$4)^('inputdata(costs-benefits) '!AF31-1))*0.7*8*1.2</f>
        <v>3459049.4267380126</v>
      </c>
      <c r="AG58" s="332">
        <f>(inputdata!$E$3-125000)*((1+inputdata!$E$4)^('inputdata(costs-benefits) '!AG31-1))*0.7*8*1.2</f>
        <v>3499866.2099735211</v>
      </c>
      <c r="AH58" s="332">
        <f>(inputdata!$E$3-125000)*((1+inputdata!$E$4)^('inputdata(costs-benefits) '!AH31-1))*0.7*8*1.2</f>
        <v>3541164.631251208</v>
      </c>
      <c r="AI58"/>
      <c r="AJ58"/>
      <c r="AK58"/>
      <c r="AL58"/>
    </row>
    <row r="59" spans="1:38" x14ac:dyDescent="0.25">
      <c r="A59" s="449"/>
      <c r="B59" s="449"/>
      <c r="C59" s="320" t="s">
        <v>225</v>
      </c>
      <c r="D59" s="332">
        <v>371161372.39999998</v>
      </c>
      <c r="E59" s="332">
        <f>$D$59*0.02</f>
        <v>7423227.4479999999</v>
      </c>
      <c r="F59" s="332">
        <f t="shared" ref="F59:AH59" si="10">$D$59*0.02</f>
        <v>7423227.4479999999</v>
      </c>
      <c r="G59" s="332">
        <f t="shared" si="10"/>
        <v>7423227.4479999999</v>
      </c>
      <c r="H59" s="332">
        <f t="shared" si="10"/>
        <v>7423227.4479999999</v>
      </c>
      <c r="I59" s="332">
        <f t="shared" si="10"/>
        <v>7423227.4479999999</v>
      </c>
      <c r="J59" s="332">
        <f t="shared" si="10"/>
        <v>7423227.4479999999</v>
      </c>
      <c r="K59" s="332">
        <f t="shared" si="10"/>
        <v>7423227.4479999999</v>
      </c>
      <c r="L59" s="332">
        <f t="shared" si="10"/>
        <v>7423227.4479999999</v>
      </c>
      <c r="M59" s="332">
        <f t="shared" si="10"/>
        <v>7423227.4479999999</v>
      </c>
      <c r="N59" s="332">
        <f t="shared" si="10"/>
        <v>7423227.4479999999</v>
      </c>
      <c r="O59" s="332">
        <f t="shared" si="10"/>
        <v>7423227.4479999999</v>
      </c>
      <c r="P59" s="332">
        <f t="shared" si="10"/>
        <v>7423227.4479999999</v>
      </c>
      <c r="Q59" s="332">
        <f t="shared" si="10"/>
        <v>7423227.4479999999</v>
      </c>
      <c r="R59" s="332">
        <f t="shared" si="10"/>
        <v>7423227.4479999999</v>
      </c>
      <c r="S59" s="332">
        <f t="shared" si="10"/>
        <v>7423227.4479999999</v>
      </c>
      <c r="T59" s="332">
        <f t="shared" si="10"/>
        <v>7423227.4479999999</v>
      </c>
      <c r="U59" s="332">
        <f t="shared" si="10"/>
        <v>7423227.4479999999</v>
      </c>
      <c r="V59" s="332">
        <f t="shared" si="10"/>
        <v>7423227.4479999999</v>
      </c>
      <c r="W59" s="332">
        <f t="shared" si="10"/>
        <v>7423227.4479999999</v>
      </c>
      <c r="X59" s="332">
        <f t="shared" si="10"/>
        <v>7423227.4479999999</v>
      </c>
      <c r="Y59" s="332">
        <f t="shared" si="10"/>
        <v>7423227.4479999999</v>
      </c>
      <c r="Z59" s="332">
        <f t="shared" si="10"/>
        <v>7423227.4479999999</v>
      </c>
      <c r="AA59" s="332">
        <f t="shared" si="10"/>
        <v>7423227.4479999999</v>
      </c>
      <c r="AB59" s="332">
        <f t="shared" si="10"/>
        <v>7423227.4479999999</v>
      </c>
      <c r="AC59" s="332">
        <f t="shared" si="10"/>
        <v>7423227.4479999999</v>
      </c>
      <c r="AD59" s="332">
        <f t="shared" si="10"/>
        <v>7423227.4479999999</v>
      </c>
      <c r="AE59" s="332">
        <f t="shared" si="10"/>
        <v>7423227.4479999999</v>
      </c>
      <c r="AF59" s="332">
        <f t="shared" si="10"/>
        <v>7423227.4479999999</v>
      </c>
      <c r="AG59" s="332">
        <f t="shared" si="10"/>
        <v>7423227.4479999999</v>
      </c>
      <c r="AH59" s="332">
        <f t="shared" si="10"/>
        <v>7423227.4479999999</v>
      </c>
      <c r="AI59"/>
      <c r="AJ59"/>
      <c r="AK59"/>
      <c r="AL59"/>
    </row>
    <row r="60" spans="1:38" x14ac:dyDescent="0.25">
      <c r="A60" s="449"/>
      <c r="B60" s="449"/>
      <c r="C60" s="320" t="s">
        <v>233</v>
      </c>
      <c r="D60" s="332">
        <f>47427593.43+2806345.16</f>
        <v>50233938.590000004</v>
      </c>
      <c r="E60" s="332">
        <f>(inputdata!$E$3*0.7*0.24)*((1+inputdata!$E$4)^('inputdata(costs-benefits) '!E31-1))*0.18*393.7*0.746*0.12/(3960*0.9*0.9)*24*365+18000+76000</f>
        <v>1549328.9910303033</v>
      </c>
      <c r="F60" s="332">
        <f>(inputdata!$E$3*0.7*0.24)*((1+inputdata!$E$4)^('inputdata(costs-benefits) '!F31-1))*0.18*393.7*0.746*0.12/(3960*0.9*0.9)*24*365+18000+76000</f>
        <v>1566501.8731244607</v>
      </c>
      <c r="G60" s="332">
        <f>(inputdata!$E$3*0.7*0.24)*((1+inputdata!$E$4)^('inputdata(costs-benefits) '!G31-1))*0.18*393.7*0.746*0.12/(3960*0.9*0.9)*24*365+18000+76000</f>
        <v>1583877.3952273293</v>
      </c>
      <c r="H60" s="332">
        <f>(inputdata!$E$3*0.7*0.24)*((1+inputdata!$E$4)^('inputdata(costs-benefits) '!H31-1))*0.18*393.7*0.746*0.12/(3960*0.9*0.9)*24*365+18000+76000</f>
        <v>1601457.9484910117</v>
      </c>
      <c r="I60" s="332">
        <f>(inputdata!$E$3*0.7*0.24)*((1+inputdata!$E$4)^('inputdata(costs-benefits) '!I31-1))*0.18*393.7*0.746*0.12/(3960*0.9*0.9)*24*365+18000+76000</f>
        <v>1619245.9522832057</v>
      </c>
      <c r="J60" s="332">
        <f>(inputdata!$E$3*0.7*0.24)*((1+inputdata!$E$4)^('inputdata(costs-benefits) '!J31-1))*0.18*393.7*0.746*0.12/(3960*0.9*0.9)*24*365+18000+76000</f>
        <v>1637243.8545201477</v>
      </c>
      <c r="K60" s="332">
        <f>(inputdata!$E$3*0.7*0.24)*((1+inputdata!$E$4)^('inputdata(costs-benefits) '!K31-1))*0.18*393.7*0.746*0.12/(3960*0.9*0.9)*24*365+18000+76000</f>
        <v>1655454.132003485</v>
      </c>
      <c r="L60" s="332">
        <f>(inputdata!$E$3*0.7*0.24)*((1+inputdata!$E$4)^('inputdata(costs-benefits) '!L31-1))*0.18*393.7*0.746*0.12/(3960*0.9*0.9)*24*365+18000+76000</f>
        <v>1673879.2907611267</v>
      </c>
      <c r="M60" s="332">
        <f>(inputdata!$E$3*0.7*0.24)*((1+inputdata!$E$4)^('inputdata(costs-benefits) '!M31-1))*0.18*393.7*0.746*0.12/(3960*0.9*0.9)*24*365+18000+76000</f>
        <v>1692521.8663921079</v>
      </c>
      <c r="N60" s="332">
        <f>(inputdata!$E$3*0.7*0.24)*((1+inputdata!$E$4)^('inputdata(costs-benefits) '!N31-1))*0.18*393.7*0.746*0.12/(3960*0.9*0.9)*24*365+18000+76000</f>
        <v>1711384.4244155346</v>
      </c>
      <c r="O60" s="332">
        <f>(inputdata!$E$3*0.7*0.24)*((1+inputdata!$E$4)^('inputdata(costs-benefits) '!O31-1))*0.18*393.7*0.746*0.12/(3960*0.9*0.9)*24*365+18000+76000</f>
        <v>1730469.5606236379</v>
      </c>
      <c r="P60" s="332">
        <f>(inputdata!$E$3*0.7*0.24)*((1+inputdata!$E$4)^('inputdata(costs-benefits) '!P31-1))*0.18*393.7*0.746*0.12/(3960*0.9*0.9)*24*365+18000+76000</f>
        <v>1749779.9014389971</v>
      </c>
      <c r="Q60" s="332">
        <f>(inputdata!$E$3*0.7*0.24)*((1+inputdata!$E$4)^('inputdata(costs-benefits) '!Q31-1))*0.18*393.7*0.746*0.12/(3960*0.9*0.9)*24*365+18000+76000</f>
        <v>1769318.104275977</v>
      </c>
      <c r="R60" s="332">
        <f>(inputdata!$E$3*0.7*0.24)*((1+inputdata!$E$4)^('inputdata(costs-benefits) '!R31-1))*0.18*393.7*0.746*0.12/(3960*0.9*0.9)*24*365+18000+76000</f>
        <v>1789086.8579064333</v>
      </c>
      <c r="S60" s="332">
        <f>(inputdata!$E$3*0.7*0.24)*((1+inputdata!$E$4)^('inputdata(costs-benefits) '!S31-1))*0.18*393.7*0.746*0.12/(3960*0.9*0.9)*24*365+18000+76000</f>
        <v>1809088.8828297299</v>
      </c>
      <c r="T60" s="332">
        <f>(inputdata!$E$3*0.7*0.24)*((1+inputdata!$E$4)^('inputdata(costs-benefits) '!T31-1))*0.18*393.7*0.746*0.12/(3960*0.9*0.9)*24*365+18000+76000</f>
        <v>1829326.9316471207</v>
      </c>
      <c r="U60" s="332">
        <f>(inputdata!$E$3*0.7*0.24)*((1+inputdata!$E$4)^('inputdata(costs-benefits) '!U31-1))*0.18*393.7*0.746*0.12/(3960*0.9*0.9)*24*365+18000+76000</f>
        <v>1849803.7894405564</v>
      </c>
      <c r="V60" s="332">
        <f>(inputdata!$E$3*0.7*0.24)*((1+inputdata!$E$4)^('inputdata(costs-benefits) '!V31-1))*0.18*393.7*0.746*0.12/(3960*0.9*0.9)*24*365+18000+76000</f>
        <v>1870522.2741559551</v>
      </c>
      <c r="W60" s="332">
        <f>(inputdata!$E$3*0.7*0.24)*((1+inputdata!$E$4)^('inputdata(costs-benefits) '!W31-1))*0.18*393.7*0.746*0.12/(3960*0.9*0.9)*24*365+18000+76000</f>
        <v>1891485.2369909959</v>
      </c>
      <c r="X60" s="332">
        <f>(inputdata!$E$3*0.7*0.24)*((1+inputdata!$E$4)^('inputdata(costs-benefits) '!X31-1))*0.18*393.7*0.746*0.12/(3960*0.9*0.9)*24*365+18000+76000</f>
        <v>1912695.5627874895</v>
      </c>
      <c r="Y60" s="332">
        <f>(inputdata!$E$3*0.7*0.24)*((1+inputdata!$E$4)^('inputdata(costs-benefits) '!Y31-1))*0.18*393.7*0.746*0.12/(3960*0.9*0.9)*24*365+18000+76000</f>
        <v>1934156.1704283818</v>
      </c>
      <c r="Z60" s="332">
        <f>(inputdata!$E$3*0.7*0.24)*((1+inputdata!$E$4)^('inputdata(costs-benefits) '!Z31-1))*0.18*393.7*0.746*0.12/(3960*0.9*0.9)*24*365+18000+76000</f>
        <v>1955870.0132394368</v>
      </c>
      <c r="AA60" s="332">
        <f>(inputdata!$E$3*0.7*0.24)*((1+inputdata!$E$4)^('inputdata(costs-benefits) '!AA31-1))*0.18*393.7*0.746*0.12/(3960*0.9*0.9)*24*365+18000+76000</f>
        <v>1977840.0793956623</v>
      </c>
      <c r="AB60" s="332">
        <f>(inputdata!$E$3*0.7*0.24)*((1+inputdata!$E$4)^('inputdata(costs-benefits) '!AB31-1))*0.18*393.7*0.746*0.12/(3960*0.9*0.9)*24*365+18000+76000</f>
        <v>2000069.3923325315</v>
      </c>
      <c r="AC60" s="332">
        <f>(inputdata!$E$3*0.7*0.24)*((1+inputdata!$E$4)^('inputdata(costs-benefits) '!AC31-1))*0.18*393.7*0.746*0.12/(3960*0.9*0.9)*24*365+18000+76000</f>
        <v>2022561.0111620552</v>
      </c>
      <c r="AD60" s="332">
        <f>(inputdata!$E$3*0.7*0.24)*((1+inputdata!$E$4)^('inputdata(costs-benefits) '!AD31-1))*0.18*393.7*0.746*0.12/(3960*0.9*0.9)*24*365+18000+76000</f>
        <v>2045318.0310937678</v>
      </c>
      <c r="AE60" s="332">
        <f>(inputdata!$E$3*0.7*0.24)*((1+inputdata!$E$4)^('inputdata(costs-benefits) '!AE31-1))*0.18*393.7*0.746*0.12/(3960*0.9*0.9)*24*365+18000+76000</f>
        <v>2068343.5838606737</v>
      </c>
      <c r="AF60" s="332">
        <f>(inputdata!$E$3*0.7*0.24)*((1+inputdata!$E$4)^('inputdata(costs-benefits) '!AF31-1))*0.18*393.7*0.746*0.12/(3960*0.9*0.9)*24*365+18000+76000</f>
        <v>2091640.8381502307</v>
      </c>
      <c r="AG60" s="332">
        <f>(inputdata!$E$3*0.7*0.24)*((1+inputdata!$E$4)^('inputdata(costs-benefits) '!AG31-1))*0.18*393.7*0.746*0.12/(3960*0.9*0.9)*24*365+18000+76000</f>
        <v>2115213.0000404031</v>
      </c>
      <c r="AH60" s="332">
        <f>(inputdata!$E$3*0.7*0.24)*((1+inputdata!$E$4)^('inputdata(costs-benefits) '!AH31-1))*0.18*393.7*0.746*0.12/(3960*0.9*0.9)*24*365+18000+76000</f>
        <v>2139063.3134408789</v>
      </c>
      <c r="AI60"/>
      <c r="AJ60"/>
      <c r="AK60"/>
      <c r="AL60"/>
    </row>
    <row r="61" spans="1:38" ht="15" customHeight="1" x14ac:dyDescent="0.25">
      <c r="A61" s="439"/>
      <c r="B61" s="439"/>
      <c r="C61" s="318" t="s">
        <v>184</v>
      </c>
      <c r="D61" s="319">
        <f>SUM(D58:D60)</f>
        <v>511395310.99000001</v>
      </c>
      <c r="E61" s="319">
        <f>SUM(E58:E60)</f>
        <v>11492556.439030303</v>
      </c>
      <c r="F61" s="319">
        <f>SUM(F58:F60)</f>
        <v>11539465.321124461</v>
      </c>
      <c r="G61" s="319">
        <f t="shared" ref="G61:AH61" si="11">SUM(G58:G60)</f>
        <v>11586927.728027331</v>
      </c>
      <c r="H61" s="319">
        <f t="shared" si="11"/>
        <v>11634950.191331651</v>
      </c>
      <c r="I61" s="319">
        <f t="shared" si="11"/>
        <v>11683539.319702966</v>
      </c>
      <c r="J61" s="319">
        <f t="shared" si="11"/>
        <v>11732701.79978906</v>
      </c>
      <c r="K61" s="319">
        <f t="shared" si="11"/>
        <v>11782444.39714017</v>
      </c>
      <c r="L61" s="319">
        <f t="shared" si="11"/>
        <v>11832773.957140025</v>
      </c>
      <c r="M61" s="319">
        <f t="shared" si="11"/>
        <v>11883697.405947877</v>
      </c>
      <c r="N61" s="319">
        <f t="shared" si="11"/>
        <v>11935221.751451662</v>
      </c>
      <c r="O61" s="319">
        <f t="shared" si="11"/>
        <v>11987354.084232394</v>
      </c>
      <c r="P61" s="319">
        <f t="shared" si="11"/>
        <v>12040101.578539934</v>
      </c>
      <c r="Q61" s="319">
        <f t="shared" si="11"/>
        <v>12093471.493280306</v>
      </c>
      <c r="R61" s="319">
        <f t="shared" si="11"/>
        <v>12147471.173014613</v>
      </c>
      <c r="S61" s="319">
        <f t="shared" si="11"/>
        <v>12202108.048969787</v>
      </c>
      <c r="T61" s="319">
        <f t="shared" si="11"/>
        <v>12257389.640061229</v>
      </c>
      <c r="U61" s="319">
        <f t="shared" si="11"/>
        <v>12313323.553927552</v>
      </c>
      <c r="V61" s="319">
        <f t="shared" si="11"/>
        <v>12369917.487977499</v>
      </c>
      <c r="W61" s="319">
        <f t="shared" si="11"/>
        <v>12427179.230449233</v>
      </c>
      <c r="X61" s="319">
        <f t="shared" si="11"/>
        <v>12485116.661482135</v>
      </c>
      <c r="Y61" s="319">
        <f t="shared" si="11"/>
        <v>12543737.754201224</v>
      </c>
      <c r="Z61" s="319">
        <f t="shared" si="11"/>
        <v>12603050.575814396</v>
      </c>
      <c r="AA61" s="319">
        <f t="shared" si="11"/>
        <v>12663063.288722608</v>
      </c>
      <c r="AB61" s="319">
        <f t="shared" si="11"/>
        <v>12723784.151643135</v>
      </c>
      <c r="AC61" s="319">
        <f t="shared" si="11"/>
        <v>12785221.520746125</v>
      </c>
      <c r="AD61" s="319">
        <f t="shared" si="11"/>
        <v>12847383.85080453</v>
      </c>
      <c r="AE61" s="319">
        <f t="shared" si="11"/>
        <v>12910279.696357621</v>
      </c>
      <c r="AF61" s="319">
        <f t="shared" si="11"/>
        <v>12973917.712888243</v>
      </c>
      <c r="AG61" s="319">
        <f t="shared" si="11"/>
        <v>13038306.658013923</v>
      </c>
      <c r="AH61" s="319">
        <f t="shared" si="11"/>
        <v>13103455.392692085</v>
      </c>
      <c r="AI61"/>
      <c r="AJ61"/>
      <c r="AK61"/>
      <c r="AL61"/>
    </row>
    <row r="62" spans="1:38" ht="15" customHeight="1" x14ac:dyDescent="0.25">
      <c r="A62" s="449" t="str">
        <f>inputdata!A46</f>
        <v>Activated sludge+ Ultrfiltration+ reverse osmosis</v>
      </c>
      <c r="B62" s="449" t="str">
        <f>inputdata!B46</f>
        <v>T8</v>
      </c>
      <c r="C62" s="320" t="s">
        <v>226</v>
      </c>
      <c r="D62" s="332">
        <v>75000000</v>
      </c>
      <c r="E62" s="332">
        <f>(inputdata!$E$3-125000)*((1+inputdata!$E$4)^('inputdata(costs-benefits) '!E31-1))*0.7*8</f>
        <v>2100000</v>
      </c>
      <c r="F62" s="332">
        <f>(inputdata!$E$3-125000)*((1+inputdata!$E$4)^('inputdata(costs-benefits) '!F31-1))*0.7*8</f>
        <v>2124780</v>
      </c>
      <c r="G62" s="332">
        <f>(inputdata!$E$3-125000)*((1+inputdata!$E$4)^('inputdata(costs-benefits) '!G31-1))*0.7*8</f>
        <v>2149852.4040000001</v>
      </c>
      <c r="H62" s="332">
        <f>(inputdata!$E$3-125000)*((1+inputdata!$E$4)^('inputdata(costs-benefits) '!H31-1))*0.7*8</f>
        <v>2175220.6623672</v>
      </c>
      <c r="I62" s="332">
        <f>(inputdata!$E$3-125000)*((1+inputdata!$E$4)^('inputdata(costs-benefits) '!I31-1))*0.7*8</f>
        <v>2200888.2661831332</v>
      </c>
      <c r="J62" s="332">
        <f>(inputdata!$E$3-125000)*((1+inputdata!$E$4)^('inputdata(costs-benefits) '!J31-1))*0.7*8</f>
        <v>2226858.747724094</v>
      </c>
      <c r="K62" s="332">
        <f>(inputdata!$E$3-125000)*((1+inputdata!$E$4)^('inputdata(costs-benefits) '!K31-1))*0.7*8</f>
        <v>2253135.6809472381</v>
      </c>
      <c r="L62" s="332">
        <f>(inputdata!$E$3-125000)*((1+inputdata!$E$4)^('inputdata(costs-benefits) '!L31-1))*0.7*8</f>
        <v>2279722.6819824162</v>
      </c>
      <c r="M62" s="332">
        <f>(inputdata!$E$3-125000)*((1+inputdata!$E$4)^('inputdata(costs-benefits) '!M31-1))*0.7*8</f>
        <v>2306623.4096298087</v>
      </c>
      <c r="N62" s="332">
        <f>(inputdata!$E$3-125000)*((1+inputdata!$E$4)^('inputdata(costs-benefits) '!N31-1))*0.7*8</f>
        <v>2333841.5658634403</v>
      </c>
      <c r="O62" s="332">
        <f>(inputdata!$E$3-125000)*((1+inputdata!$E$4)^('inputdata(costs-benefits) '!O31-1))*0.7*8</f>
        <v>2361380.8963406291</v>
      </c>
      <c r="P62" s="332">
        <f>(inputdata!$E$3-125000)*((1+inputdata!$E$4)^('inputdata(costs-benefits) '!P31-1))*0.7*8</f>
        <v>2389245.1909174486</v>
      </c>
      <c r="Q62" s="332">
        <f>(inputdata!$E$3-125000)*((1+inputdata!$E$4)^('inputdata(costs-benefits) '!Q31-1))*0.7*8</f>
        <v>2417438.2841702746</v>
      </c>
      <c r="R62" s="332">
        <f>(inputdata!$E$3-125000)*((1+inputdata!$E$4)^('inputdata(costs-benefits) '!R31-1))*0.7*8</f>
        <v>2445964.0559234833</v>
      </c>
      <c r="S62" s="332">
        <f>(inputdata!$E$3-125000)*((1+inputdata!$E$4)^('inputdata(costs-benefits) '!S31-1))*0.7*8</f>
        <v>2474826.4317833805</v>
      </c>
      <c r="T62" s="332">
        <f>(inputdata!$E$3-125000)*((1+inputdata!$E$4)^('inputdata(costs-benefits) '!T31-1))*0.7*8</f>
        <v>2504029.3836784251</v>
      </c>
      <c r="U62" s="332">
        <f>(inputdata!$E$3-125000)*((1+inputdata!$E$4)^('inputdata(costs-benefits) '!U31-1))*0.7*8</f>
        <v>2533576.9304058305</v>
      </c>
      <c r="V62" s="332">
        <f>(inputdata!$E$3-125000)*((1+inputdata!$E$4)^('inputdata(costs-benefits) '!V31-1))*0.7*8</f>
        <v>2563473.1381846191</v>
      </c>
      <c r="W62" s="332">
        <f>(inputdata!$E$3-125000)*((1+inputdata!$E$4)^('inputdata(costs-benefits) '!W31-1))*0.7*8</f>
        <v>2593722.1212151977</v>
      </c>
      <c r="X62" s="332">
        <f>(inputdata!$E$3-125000)*((1+inputdata!$E$4)^('inputdata(costs-benefits) '!X31-1))*0.7*8</f>
        <v>2624328.042245537</v>
      </c>
      <c r="Y62" s="332">
        <f>(inputdata!$E$3-125000)*((1+inputdata!$E$4)^('inputdata(costs-benefits) '!Y31-1))*0.7*8</f>
        <v>2655295.1131440345</v>
      </c>
      <c r="Z62" s="332">
        <f>(inputdata!$E$3-125000)*((1+inputdata!$E$4)^('inputdata(costs-benefits) '!Z31-1))*0.7*8</f>
        <v>2686627.595479134</v>
      </c>
      <c r="AA62" s="332">
        <f>(inputdata!$E$3-125000)*((1+inputdata!$E$4)^('inputdata(costs-benefits) '!AA31-1))*0.7*8</f>
        <v>2718329.801105788</v>
      </c>
      <c r="AB62" s="332">
        <f>(inputdata!$E$3-125000)*((1+inputdata!$E$4)^('inputdata(costs-benefits) '!AB31-1))*0.7*8</f>
        <v>2750406.0927588367</v>
      </c>
      <c r="AC62" s="332">
        <f>(inputdata!$E$3-125000)*((1+inputdata!$E$4)^('inputdata(costs-benefits) '!AC31-1))*0.7*8</f>
        <v>2782860.8846533913</v>
      </c>
      <c r="AD62" s="332">
        <f>(inputdata!$E$3-125000)*((1+inputdata!$E$4)^('inputdata(costs-benefits) '!AD31-1))*0.7*8</f>
        <v>2815698.6430923007</v>
      </c>
      <c r="AE62" s="332">
        <f>(inputdata!$E$3-125000)*((1+inputdata!$E$4)^('inputdata(costs-benefits) '!AE31-1))*0.7*8</f>
        <v>2848923.88708079</v>
      </c>
      <c r="AF62" s="332">
        <f>(inputdata!$E$3-125000)*((1+inputdata!$E$4)^('inputdata(costs-benefits) '!AF31-1))*0.7*8</f>
        <v>2882541.188948344</v>
      </c>
      <c r="AG62" s="332">
        <f>(inputdata!$E$3-125000)*((1+inputdata!$E$4)^('inputdata(costs-benefits) '!AG31-1))*0.7*8</f>
        <v>2916555.1749779345</v>
      </c>
      <c r="AH62" s="332">
        <f>(inputdata!$E$3-125000)*((1+inputdata!$E$4)^('inputdata(costs-benefits) '!AH31-1))*0.7*8</f>
        <v>2950970.5260426733</v>
      </c>
      <c r="AI62"/>
      <c r="AJ62"/>
      <c r="AK62"/>
      <c r="AL62"/>
    </row>
    <row r="63" spans="1:38" ht="15" customHeight="1" x14ac:dyDescent="0.25">
      <c r="A63" s="449"/>
      <c r="B63" s="449"/>
      <c r="C63" s="320" t="s">
        <v>322</v>
      </c>
      <c r="D63" s="332">
        <v>156408339.5</v>
      </c>
      <c r="E63" s="332">
        <f>(inputdata!$E$3*((1+inputdata!$E$4)^('inputdata(costs-benefits) '!E31-1))*0.7*inputdata!$E$5*0.3*365)</f>
        <v>9198000</v>
      </c>
      <c r="F63" s="332">
        <f>(inputdata!$E$3*((1+inputdata!$E$4)^('inputdata(costs-benefits) '!F31-1))*0.7*inputdata!$E$5*0.3*365)</f>
        <v>9306536.3999999985</v>
      </c>
      <c r="G63" s="332">
        <f>(inputdata!$E$3*((1+inputdata!$E$4)^('inputdata(costs-benefits) '!G31-1))*0.7*inputdata!$E$5*0.3*365)</f>
        <v>9416353.5295199994</v>
      </c>
      <c r="H63" s="332">
        <f>(inputdata!$E$3*((1+inputdata!$E$4)^('inputdata(costs-benefits) '!H31-1))*0.7*inputdata!$E$5*0.3*365)</f>
        <v>9527466.5011683349</v>
      </c>
      <c r="I63" s="332">
        <f>(inputdata!$E$3*((1+inputdata!$E$4)^('inputdata(costs-benefits) '!I31-1))*0.7*inputdata!$E$5*0.3*365)</f>
        <v>9639890.6058821213</v>
      </c>
      <c r="J63" s="332">
        <f>(inputdata!$E$3*((1+inputdata!$E$4)^('inputdata(costs-benefits) '!J31-1))*0.7*inputdata!$E$5*0.3*365)</f>
        <v>9753641.3150315303</v>
      </c>
      <c r="K63" s="332">
        <f>(inputdata!$E$3*((1+inputdata!$E$4)^('inputdata(costs-benefits) '!K31-1))*0.7*inputdata!$E$5*0.3*365)</f>
        <v>9868734.2825489026</v>
      </c>
      <c r="L63" s="332">
        <f>(inputdata!$E$3*((1+inputdata!$E$4)^('inputdata(costs-benefits) '!L31-1))*0.7*inputdata!$E$5*0.3*365)</f>
        <v>9985185.3470829818</v>
      </c>
      <c r="M63" s="332">
        <f>(inputdata!$E$3*((1+inputdata!$E$4)^('inputdata(costs-benefits) '!M31-1))*0.7*inputdata!$E$5*0.3*365)</f>
        <v>10103010.534178561</v>
      </c>
      <c r="N63" s="332">
        <f>(inputdata!$E$3*((1+inputdata!$E$4)^('inputdata(costs-benefits) '!N31-1))*0.7*inputdata!$E$5*0.3*365)</f>
        <v>10222226.058481866</v>
      </c>
      <c r="O63" s="332">
        <f>(inputdata!$E$3*((1+inputdata!$E$4)^('inputdata(costs-benefits) '!O31-1))*0.7*inputdata!$E$5*0.3*365)</f>
        <v>10342848.325971954</v>
      </c>
      <c r="P63" s="332">
        <f>(inputdata!$E$3*((1+inputdata!$E$4)^('inputdata(costs-benefits) '!P31-1))*0.7*inputdata!$E$5*0.3*365)</f>
        <v>10464893.936218424</v>
      </c>
      <c r="Q63" s="332">
        <f>(inputdata!$E$3*((1+inputdata!$E$4)^('inputdata(costs-benefits) '!Q31-1))*0.7*inputdata!$E$5*0.3*365)</f>
        <v>10588379.684665803</v>
      </c>
      <c r="R63" s="332">
        <f>(inputdata!$E$3*((1+inputdata!$E$4)^('inputdata(costs-benefits) '!R31-1))*0.7*inputdata!$E$5*0.3*365)</f>
        <v>10713322.564944856</v>
      </c>
      <c r="S63" s="332">
        <f>(inputdata!$E$3*((1+inputdata!$E$4)^('inputdata(costs-benefits) '!S31-1))*0.7*inputdata!$E$5*0.3*365)</f>
        <v>10839739.771211209</v>
      </c>
      <c r="T63" s="332">
        <f>(inputdata!$E$3*((1+inputdata!$E$4)^('inputdata(costs-benefits) '!T31-1))*0.7*inputdata!$E$5*0.3*365)</f>
        <v>10967648.7005115</v>
      </c>
      <c r="U63" s="332">
        <f>(inputdata!$E$3*((1+inputdata!$E$4)^('inputdata(costs-benefits) '!U31-1))*0.7*inputdata!$E$5*0.3*365)</f>
        <v>11097066.955177536</v>
      </c>
      <c r="V63" s="332">
        <f>(inputdata!$E$3*((1+inputdata!$E$4)^('inputdata(costs-benefits) '!V31-1))*0.7*inputdata!$E$5*0.3*365)</f>
        <v>11228012.34524863</v>
      </c>
      <c r="W63" s="332">
        <f>(inputdata!$E$3*((1+inputdata!$E$4)^('inputdata(costs-benefits) '!W31-1))*0.7*inputdata!$E$5*0.3*365)</f>
        <v>11360502.890922565</v>
      </c>
      <c r="X63" s="332">
        <f>(inputdata!$E$3*((1+inputdata!$E$4)^('inputdata(costs-benefits) '!X31-1))*0.7*inputdata!$E$5*0.3*365)</f>
        <v>11494556.825035451</v>
      </c>
      <c r="Y63" s="332">
        <f>(inputdata!$E$3*((1+inputdata!$E$4)^('inputdata(costs-benefits) '!Y31-1))*0.7*inputdata!$E$5*0.3*365)</f>
        <v>11630192.595570868</v>
      </c>
      <c r="Z63" s="332">
        <f>(inputdata!$E$3*((1+inputdata!$E$4)^('inputdata(costs-benefits) '!Z31-1))*0.7*inputdata!$E$5*0.3*365)</f>
        <v>11767428.868198605</v>
      </c>
      <c r="AA63" s="332">
        <f>(inputdata!$E$3*((1+inputdata!$E$4)^('inputdata(costs-benefits) '!AA31-1))*0.7*inputdata!$E$5*0.3*365)</f>
        <v>11906284.528843351</v>
      </c>
      <c r="AB63" s="332">
        <f>(inputdata!$E$3*((1+inputdata!$E$4)^('inputdata(costs-benefits) '!AB31-1))*0.7*inputdata!$E$5*0.3*365)</f>
        <v>12046778.686283702</v>
      </c>
      <c r="AC63" s="332">
        <f>(inputdata!$E$3*((1+inputdata!$E$4)^('inputdata(costs-benefits) '!AC31-1))*0.7*inputdata!$E$5*0.3*365)</f>
        <v>12188930.674781853</v>
      </c>
      <c r="AD63" s="332">
        <f>(inputdata!$E$3*((1+inputdata!$E$4)^('inputdata(costs-benefits) '!AD31-1))*0.7*inputdata!$E$5*0.3*365)</f>
        <v>12332760.056744277</v>
      </c>
      <c r="AE63" s="332">
        <f>(inputdata!$E$3*((1+inputdata!$E$4)^('inputdata(costs-benefits) '!AE31-1))*0.7*inputdata!$E$5*0.3*365)</f>
        <v>12478286.625413861</v>
      </c>
      <c r="AF63" s="332">
        <f>(inputdata!$E$3*((1+inputdata!$E$4)^('inputdata(costs-benefits) '!AF31-1))*0.7*inputdata!$E$5*0.3*365)</f>
        <v>12625530.407593746</v>
      </c>
      <c r="AG63" s="332">
        <f>(inputdata!$E$3*((1+inputdata!$E$4)^('inputdata(costs-benefits) '!AG31-1))*0.7*inputdata!$E$5*0.3*365)</f>
        <v>12774511.666403353</v>
      </c>
      <c r="AH63" s="332">
        <f>(inputdata!$E$3*((1+inputdata!$E$4)^('inputdata(costs-benefits) '!AH31-1))*0.7*inputdata!$E$5*0.3*365)</f>
        <v>12925250.904066909</v>
      </c>
      <c r="AI63"/>
      <c r="AJ63"/>
      <c r="AK63"/>
      <c r="AL63"/>
    </row>
    <row r="64" spans="1:38" x14ac:dyDescent="0.25">
      <c r="A64" s="449"/>
      <c r="B64" s="449"/>
      <c r="C64" s="320" t="s">
        <v>225</v>
      </c>
      <c r="D64" s="332">
        <v>371161372.39999998</v>
      </c>
      <c r="E64" s="332">
        <f>$D$64*0.02</f>
        <v>7423227.4479999999</v>
      </c>
      <c r="F64" s="332">
        <f t="shared" ref="F64:AH64" si="12">$D$64*0.02</f>
        <v>7423227.4479999999</v>
      </c>
      <c r="G64" s="332">
        <f t="shared" si="12"/>
        <v>7423227.4479999999</v>
      </c>
      <c r="H64" s="332">
        <f t="shared" si="12"/>
        <v>7423227.4479999999</v>
      </c>
      <c r="I64" s="332">
        <f t="shared" si="12"/>
        <v>7423227.4479999999</v>
      </c>
      <c r="J64" s="332">
        <f t="shared" si="12"/>
        <v>7423227.4479999999</v>
      </c>
      <c r="K64" s="332">
        <f t="shared" si="12"/>
        <v>7423227.4479999999</v>
      </c>
      <c r="L64" s="332">
        <f t="shared" si="12"/>
        <v>7423227.4479999999</v>
      </c>
      <c r="M64" s="332">
        <f t="shared" si="12"/>
        <v>7423227.4479999999</v>
      </c>
      <c r="N64" s="332">
        <f t="shared" si="12"/>
        <v>7423227.4479999999</v>
      </c>
      <c r="O64" s="332">
        <f t="shared" si="12"/>
        <v>7423227.4479999999</v>
      </c>
      <c r="P64" s="332">
        <f t="shared" si="12"/>
        <v>7423227.4479999999</v>
      </c>
      <c r="Q64" s="332">
        <f t="shared" si="12"/>
        <v>7423227.4479999999</v>
      </c>
      <c r="R64" s="332">
        <f t="shared" si="12"/>
        <v>7423227.4479999999</v>
      </c>
      <c r="S64" s="332">
        <f t="shared" si="12"/>
        <v>7423227.4479999999</v>
      </c>
      <c r="T64" s="332">
        <f t="shared" si="12"/>
        <v>7423227.4479999999</v>
      </c>
      <c r="U64" s="332">
        <f t="shared" si="12"/>
        <v>7423227.4479999999</v>
      </c>
      <c r="V64" s="332">
        <f t="shared" si="12"/>
        <v>7423227.4479999999</v>
      </c>
      <c r="W64" s="332">
        <f t="shared" si="12"/>
        <v>7423227.4479999999</v>
      </c>
      <c r="X64" s="332">
        <f t="shared" si="12"/>
        <v>7423227.4479999999</v>
      </c>
      <c r="Y64" s="332">
        <f t="shared" si="12"/>
        <v>7423227.4479999999</v>
      </c>
      <c r="Z64" s="332">
        <f t="shared" si="12"/>
        <v>7423227.4479999999</v>
      </c>
      <c r="AA64" s="332">
        <f t="shared" si="12"/>
        <v>7423227.4479999999</v>
      </c>
      <c r="AB64" s="332">
        <f t="shared" si="12"/>
        <v>7423227.4479999999</v>
      </c>
      <c r="AC64" s="332">
        <f t="shared" si="12"/>
        <v>7423227.4479999999</v>
      </c>
      <c r="AD64" s="332">
        <f t="shared" si="12"/>
        <v>7423227.4479999999</v>
      </c>
      <c r="AE64" s="332">
        <f t="shared" si="12"/>
        <v>7423227.4479999999</v>
      </c>
      <c r="AF64" s="332">
        <f t="shared" si="12"/>
        <v>7423227.4479999999</v>
      </c>
      <c r="AG64" s="332">
        <f t="shared" si="12"/>
        <v>7423227.4479999999</v>
      </c>
      <c r="AH64" s="332">
        <f t="shared" si="12"/>
        <v>7423227.4479999999</v>
      </c>
      <c r="AI64"/>
      <c r="AJ64"/>
      <c r="AK64"/>
      <c r="AL64"/>
    </row>
    <row r="65" spans="1:38" x14ac:dyDescent="0.25">
      <c r="A65" s="449"/>
      <c r="B65" s="449"/>
      <c r="C65" s="320" t="s">
        <v>233</v>
      </c>
      <c r="D65" s="332">
        <f>47427593.43+2806345.16</f>
        <v>50233938.590000004</v>
      </c>
      <c r="E65" s="332">
        <f>(inputdata!$E$3*0.7*0.24)*((1+inputdata!$E$4)^('inputdata(costs-benefits) '!E31-1))*0.18*393.7*0.746*0.12/(3960*0.9*0.9)*24*365+18000+76000</f>
        <v>1549328.9910303033</v>
      </c>
      <c r="F65" s="332">
        <f>(inputdata!$E$3*0.7*0.24)*((1+inputdata!$E$4)^('inputdata(costs-benefits) '!F31-1))*0.18*393.7*0.746*0.12/(3960*0.9*0.9)*24*365+18000+76000</f>
        <v>1566501.8731244607</v>
      </c>
      <c r="G65" s="332">
        <f>(inputdata!$E$3*0.7*0.24)*((1+inputdata!$E$4)^('inputdata(costs-benefits) '!G31-1))*0.18*393.7*0.746*0.12/(3960*0.9*0.9)*24*365+18000+76000</f>
        <v>1583877.3952273293</v>
      </c>
      <c r="H65" s="332">
        <f>(inputdata!$E$3*0.7*0.24)*((1+inputdata!$E$4)^('inputdata(costs-benefits) '!H31-1))*0.18*393.7*0.746*0.12/(3960*0.9*0.9)*24*365+18000+76000</f>
        <v>1601457.9484910117</v>
      </c>
      <c r="I65" s="332">
        <f>(inputdata!$E$3*0.7*0.24)*((1+inputdata!$E$4)^('inputdata(costs-benefits) '!I31-1))*0.18*393.7*0.746*0.12/(3960*0.9*0.9)*24*365+18000+76000</f>
        <v>1619245.9522832057</v>
      </c>
      <c r="J65" s="332">
        <f>(inputdata!$E$3*0.7*0.24)*((1+inputdata!$E$4)^('inputdata(costs-benefits) '!J31-1))*0.18*393.7*0.746*0.12/(3960*0.9*0.9)*24*365+18000+76000</f>
        <v>1637243.8545201477</v>
      </c>
      <c r="K65" s="332">
        <f>(inputdata!$E$3*0.7*0.24)*((1+inputdata!$E$4)^('inputdata(costs-benefits) '!K31-1))*0.18*393.7*0.746*0.12/(3960*0.9*0.9)*24*365+18000+76000</f>
        <v>1655454.132003485</v>
      </c>
      <c r="L65" s="332">
        <f>(inputdata!$E$3*0.7*0.24)*((1+inputdata!$E$4)^('inputdata(costs-benefits) '!L31-1))*0.18*393.7*0.746*0.12/(3960*0.9*0.9)*24*365+18000+76000</f>
        <v>1673879.2907611267</v>
      </c>
      <c r="M65" s="332">
        <f>(inputdata!$E$3*0.7*0.24)*((1+inputdata!$E$4)^('inputdata(costs-benefits) '!M31-1))*0.18*393.7*0.746*0.12/(3960*0.9*0.9)*24*365+18000+76000</f>
        <v>1692521.8663921079</v>
      </c>
      <c r="N65" s="332">
        <f>(inputdata!$E$3*0.7*0.24)*((1+inputdata!$E$4)^('inputdata(costs-benefits) '!N31-1))*0.18*393.7*0.746*0.12/(3960*0.9*0.9)*24*365+18000+76000</f>
        <v>1711384.4244155346</v>
      </c>
      <c r="O65" s="332">
        <f>(inputdata!$E$3*0.7*0.24)*((1+inputdata!$E$4)^('inputdata(costs-benefits) '!O31-1))*0.18*393.7*0.746*0.12/(3960*0.9*0.9)*24*365+18000+76000</f>
        <v>1730469.5606236379</v>
      </c>
      <c r="P65" s="332">
        <f>(inputdata!$E$3*0.7*0.24)*((1+inputdata!$E$4)^('inputdata(costs-benefits) '!P31-1))*0.18*393.7*0.746*0.12/(3960*0.9*0.9)*24*365+18000+76000</f>
        <v>1749779.9014389971</v>
      </c>
      <c r="Q65" s="332">
        <f>(inputdata!$E$3*0.7*0.24)*((1+inputdata!$E$4)^('inputdata(costs-benefits) '!Q31-1))*0.18*393.7*0.746*0.12/(3960*0.9*0.9)*24*365+18000+76000</f>
        <v>1769318.104275977</v>
      </c>
      <c r="R65" s="332">
        <f>(inputdata!$E$3*0.7*0.24)*((1+inputdata!$E$4)^('inputdata(costs-benefits) '!R31-1))*0.18*393.7*0.746*0.12/(3960*0.9*0.9)*24*365+18000+76000</f>
        <v>1789086.8579064333</v>
      </c>
      <c r="S65" s="332">
        <f>(inputdata!$E$3*0.7*0.24)*((1+inputdata!$E$4)^('inputdata(costs-benefits) '!S31-1))*0.18*393.7*0.746*0.12/(3960*0.9*0.9)*24*365+18000+76000</f>
        <v>1809088.8828297299</v>
      </c>
      <c r="T65" s="332">
        <f>(inputdata!$E$3*0.7*0.24)*((1+inputdata!$E$4)^('inputdata(costs-benefits) '!T31-1))*0.18*393.7*0.746*0.12/(3960*0.9*0.9)*24*365+18000+76000</f>
        <v>1829326.9316471207</v>
      </c>
      <c r="U65" s="332">
        <f>(inputdata!$E$3*0.7*0.24)*((1+inputdata!$E$4)^('inputdata(costs-benefits) '!U31-1))*0.18*393.7*0.746*0.12/(3960*0.9*0.9)*24*365+18000+76000</f>
        <v>1849803.7894405564</v>
      </c>
      <c r="V65" s="332">
        <f>(inputdata!$E$3*0.7*0.24)*((1+inputdata!$E$4)^('inputdata(costs-benefits) '!V31-1))*0.18*393.7*0.746*0.12/(3960*0.9*0.9)*24*365+18000+76000</f>
        <v>1870522.2741559551</v>
      </c>
      <c r="W65" s="332">
        <f>(inputdata!$E$3*0.7*0.24)*((1+inputdata!$E$4)^('inputdata(costs-benefits) '!W31-1))*0.18*393.7*0.746*0.12/(3960*0.9*0.9)*24*365+18000+76000</f>
        <v>1891485.2369909959</v>
      </c>
      <c r="X65" s="332">
        <f>(inputdata!$E$3*0.7*0.24)*((1+inputdata!$E$4)^('inputdata(costs-benefits) '!X31-1))*0.18*393.7*0.746*0.12/(3960*0.9*0.9)*24*365+18000+76000</f>
        <v>1912695.5627874895</v>
      </c>
      <c r="Y65" s="332">
        <f>(inputdata!$E$3*0.7*0.24)*((1+inputdata!$E$4)^('inputdata(costs-benefits) '!Y31-1))*0.18*393.7*0.746*0.12/(3960*0.9*0.9)*24*365+18000+76000</f>
        <v>1934156.1704283818</v>
      </c>
      <c r="Z65" s="332">
        <f>(inputdata!$E$3*0.7*0.24)*((1+inputdata!$E$4)^('inputdata(costs-benefits) '!Z31-1))*0.18*393.7*0.746*0.12/(3960*0.9*0.9)*24*365+18000+76000</f>
        <v>1955870.0132394368</v>
      </c>
      <c r="AA65" s="332">
        <f>(inputdata!$E$3*0.7*0.24)*((1+inputdata!$E$4)^('inputdata(costs-benefits) '!AA31-1))*0.18*393.7*0.746*0.12/(3960*0.9*0.9)*24*365+18000+76000</f>
        <v>1977840.0793956623</v>
      </c>
      <c r="AB65" s="332">
        <f>(inputdata!$E$3*0.7*0.24)*((1+inputdata!$E$4)^('inputdata(costs-benefits) '!AB31-1))*0.18*393.7*0.746*0.12/(3960*0.9*0.9)*24*365+18000+76000</f>
        <v>2000069.3923325315</v>
      </c>
      <c r="AC65" s="332">
        <f>(inputdata!$E$3*0.7*0.24)*((1+inputdata!$E$4)^('inputdata(costs-benefits) '!AC31-1))*0.18*393.7*0.746*0.12/(3960*0.9*0.9)*24*365+18000+76000</f>
        <v>2022561.0111620552</v>
      </c>
      <c r="AD65" s="332">
        <f>(inputdata!$E$3*0.7*0.24)*((1+inputdata!$E$4)^('inputdata(costs-benefits) '!AD31-1))*0.18*393.7*0.746*0.12/(3960*0.9*0.9)*24*365+18000+76000</f>
        <v>2045318.0310937678</v>
      </c>
      <c r="AE65" s="332">
        <f>(inputdata!$E$3*0.7*0.24)*((1+inputdata!$E$4)^('inputdata(costs-benefits) '!AE31-1))*0.18*393.7*0.746*0.12/(3960*0.9*0.9)*24*365+18000+76000</f>
        <v>2068343.5838606737</v>
      </c>
      <c r="AF65" s="332">
        <f>(inputdata!$E$3*0.7*0.24)*((1+inputdata!$E$4)^('inputdata(costs-benefits) '!AF31-1))*0.18*393.7*0.746*0.12/(3960*0.9*0.9)*24*365+18000+76000</f>
        <v>2091640.8381502307</v>
      </c>
      <c r="AG65" s="332">
        <f>(inputdata!$E$3*0.7*0.24)*((1+inputdata!$E$4)^('inputdata(costs-benefits) '!AG31-1))*0.18*393.7*0.746*0.12/(3960*0.9*0.9)*24*365+18000+76000</f>
        <v>2115213.0000404031</v>
      </c>
      <c r="AH65" s="332">
        <f>(inputdata!$E$3*0.7*0.24)*((1+inputdata!$E$4)^('inputdata(costs-benefits) '!AH31-1))*0.18*393.7*0.746*0.12/(3960*0.9*0.9)*24*365+18000+76000</f>
        <v>2139063.3134408789</v>
      </c>
      <c r="AI65"/>
      <c r="AJ65"/>
      <c r="AK65"/>
      <c r="AL65"/>
    </row>
    <row r="66" spans="1:38" ht="15" customHeight="1" x14ac:dyDescent="0.25">
      <c r="A66" s="439"/>
      <c r="B66" s="439"/>
      <c r="C66" s="318" t="s">
        <v>184</v>
      </c>
      <c r="D66" s="319">
        <f>SUM(D62:D65)</f>
        <v>652803650.49000001</v>
      </c>
      <c r="E66" s="319">
        <f>SUM(E62:E65)</f>
        <v>20270556.439030301</v>
      </c>
      <c r="F66" s="319">
        <f>SUM(F62:F65)</f>
        <v>20421045.721124459</v>
      </c>
      <c r="G66" s="319">
        <f t="shared" ref="G66:AH66" si="13">SUM(G62:G65)</f>
        <v>20573310.776747327</v>
      </c>
      <c r="H66" s="319">
        <f t="shared" si="13"/>
        <v>20727372.560026545</v>
      </c>
      <c r="I66" s="319">
        <f t="shared" si="13"/>
        <v>20883252.27234846</v>
      </c>
      <c r="J66" s="319">
        <f t="shared" si="13"/>
        <v>21040971.36527577</v>
      </c>
      <c r="K66" s="319">
        <f t="shared" si="13"/>
        <v>21200551.543499626</v>
      </c>
      <c r="L66" s="319">
        <f t="shared" si="13"/>
        <v>21362014.767826527</v>
      </c>
      <c r="M66" s="319">
        <f t="shared" si="13"/>
        <v>21525383.258200478</v>
      </c>
      <c r="N66" s="319">
        <f t="shared" si="13"/>
        <v>21690679.496760841</v>
      </c>
      <c r="O66" s="319">
        <f t="shared" si="13"/>
        <v>21857926.230936222</v>
      </c>
      <c r="P66" s="319">
        <f t="shared" si="13"/>
        <v>22027146.476574868</v>
      </c>
      <c r="Q66" s="319">
        <f t="shared" si="13"/>
        <v>22198363.521112051</v>
      </c>
      <c r="R66" s="319">
        <f t="shared" si="13"/>
        <v>22371600.926774774</v>
      </c>
      <c r="S66" s="319">
        <f t="shared" si="13"/>
        <v>22546882.533824317</v>
      </c>
      <c r="T66" s="319">
        <f t="shared" si="13"/>
        <v>22724232.463837046</v>
      </c>
      <c r="U66" s="319">
        <f t="shared" si="13"/>
        <v>22903675.123023923</v>
      </c>
      <c r="V66" s="319">
        <f t="shared" si="13"/>
        <v>23085235.205589205</v>
      </c>
      <c r="W66" s="319">
        <f t="shared" si="13"/>
        <v>23268937.697128758</v>
      </c>
      <c r="X66" s="319">
        <f t="shared" si="13"/>
        <v>23454807.878068477</v>
      </c>
      <c r="Y66" s="319">
        <f t="shared" si="13"/>
        <v>23642871.327143282</v>
      </c>
      <c r="Z66" s="319">
        <f t="shared" si="13"/>
        <v>23833153.924917176</v>
      </c>
      <c r="AA66" s="319">
        <f t="shared" si="13"/>
        <v>24025681.857344802</v>
      </c>
      <c r="AB66" s="319">
        <f t="shared" si="13"/>
        <v>24220481.619375069</v>
      </c>
      <c r="AC66" s="319">
        <f t="shared" si="13"/>
        <v>24417580.018597297</v>
      </c>
      <c r="AD66" s="319">
        <f t="shared" si="13"/>
        <v>24617004.178930346</v>
      </c>
      <c r="AE66" s="319">
        <f t="shared" si="13"/>
        <v>24818781.544355325</v>
      </c>
      <c r="AF66" s="319">
        <f t="shared" si="13"/>
        <v>25022939.882692318</v>
      </c>
      <c r="AG66" s="319">
        <f t="shared" si="13"/>
        <v>25229507.289421692</v>
      </c>
      <c r="AH66" s="319">
        <f t="shared" si="13"/>
        <v>25438512.19155046</v>
      </c>
      <c r="AI66" s="299"/>
    </row>
    <row r="67" spans="1:38" x14ac:dyDescent="0.25">
      <c r="G67" s="299"/>
      <c r="H67" s="299"/>
      <c r="I67" s="299"/>
      <c r="J67" s="299"/>
      <c r="K67" s="299"/>
      <c r="L67" s="299"/>
      <c r="M67" s="299"/>
      <c r="N67" s="299"/>
      <c r="O67" s="299"/>
      <c r="P67" s="299"/>
      <c r="Q67" s="299"/>
      <c r="R67" s="299"/>
      <c r="S67" s="299"/>
      <c r="T67" s="299"/>
      <c r="U67" s="299"/>
      <c r="V67" s="299"/>
      <c r="W67" s="299"/>
      <c r="X67" s="299"/>
      <c r="Y67" s="299"/>
      <c r="Z67" s="299"/>
      <c r="AA67" s="299"/>
      <c r="AB67" s="299"/>
      <c r="AC67" s="299"/>
      <c r="AD67" s="299"/>
      <c r="AE67" s="299"/>
      <c r="AF67" s="299"/>
      <c r="AG67" s="299"/>
      <c r="AH67" s="299"/>
      <c r="AI67" s="299"/>
    </row>
    <row r="68" spans="1:38" ht="15.75" thickBot="1" x14ac:dyDescent="0.3">
      <c r="A68" s="302"/>
      <c r="B68" s="302"/>
      <c r="C68" s="302"/>
      <c r="F68" s="299"/>
      <c r="G68" s="299"/>
      <c r="H68" s="299"/>
      <c r="I68" s="299"/>
      <c r="J68" s="299"/>
      <c r="K68" s="299"/>
      <c r="L68" s="299"/>
      <c r="M68" s="299"/>
      <c r="N68" s="299"/>
      <c r="O68" s="299"/>
      <c r="P68" s="299"/>
      <c r="Q68" s="299"/>
      <c r="R68" s="299"/>
      <c r="S68" s="299"/>
      <c r="T68" s="299"/>
      <c r="U68" s="299"/>
      <c r="V68" s="299"/>
      <c r="W68" s="299"/>
      <c r="X68" s="299"/>
      <c r="Y68" s="299"/>
      <c r="Z68" s="299"/>
      <c r="AA68" s="299"/>
      <c r="AB68" s="299"/>
      <c r="AC68" s="299"/>
      <c r="AD68" s="299"/>
      <c r="AE68" s="299"/>
      <c r="AF68" s="299"/>
      <c r="AG68" s="299"/>
      <c r="AH68" s="299"/>
      <c r="AI68" s="299"/>
    </row>
    <row r="69" spans="1:38" ht="16.5" thickBot="1" x14ac:dyDescent="0.3">
      <c r="A69" s="450" t="s">
        <v>229</v>
      </c>
      <c r="B69" s="450"/>
      <c r="C69" s="302"/>
      <c r="F69" s="299"/>
      <c r="G69" s="299"/>
      <c r="H69" s="299"/>
      <c r="I69" s="299"/>
      <c r="J69" s="299"/>
      <c r="K69" s="299"/>
      <c r="L69" s="299"/>
      <c r="M69" s="299"/>
      <c r="N69" s="299"/>
      <c r="O69" s="299"/>
      <c r="P69" s="299"/>
      <c r="Q69" s="299"/>
      <c r="R69" s="299"/>
      <c r="S69" s="299"/>
      <c r="T69" s="299"/>
      <c r="U69" s="299"/>
      <c r="V69" s="299"/>
      <c r="W69" s="299"/>
      <c r="X69" s="299"/>
      <c r="Y69" s="299"/>
      <c r="Z69" s="299"/>
      <c r="AA69" s="299"/>
      <c r="AB69" s="299"/>
      <c r="AC69" s="299"/>
      <c r="AD69" s="299"/>
      <c r="AE69" s="299"/>
      <c r="AF69" s="299"/>
      <c r="AG69" s="299"/>
      <c r="AH69" s="299"/>
      <c r="AI69" s="299"/>
    </row>
    <row r="70" spans="1:38" ht="15.75" thickBot="1" x14ac:dyDescent="0.3">
      <c r="A70" s="303" t="s">
        <v>311</v>
      </c>
      <c r="B70" s="296" t="s">
        <v>312</v>
      </c>
      <c r="C70" s="299"/>
      <c r="F70" s="299"/>
      <c r="G70" s="299"/>
      <c r="H70" s="299"/>
      <c r="I70" s="299"/>
      <c r="J70" s="299"/>
      <c r="K70" s="299"/>
      <c r="L70" s="299"/>
      <c r="M70" s="299"/>
      <c r="N70" s="299"/>
      <c r="O70" s="299"/>
      <c r="P70" s="299"/>
      <c r="Q70" s="299"/>
      <c r="R70" s="299"/>
      <c r="S70" s="299"/>
      <c r="T70" s="299"/>
      <c r="U70" s="299"/>
      <c r="V70" s="299"/>
      <c r="W70" s="299"/>
      <c r="X70" s="299"/>
      <c r="Y70" s="299"/>
      <c r="Z70" s="299"/>
      <c r="AA70" s="299"/>
      <c r="AB70" s="299"/>
      <c r="AC70" s="299"/>
      <c r="AD70" s="299"/>
      <c r="AE70" s="299"/>
      <c r="AF70" s="299"/>
      <c r="AG70" s="299"/>
      <c r="AH70" s="299"/>
      <c r="AI70" s="299"/>
    </row>
    <row r="71" spans="1:38" ht="30.75" thickBot="1" x14ac:dyDescent="0.3">
      <c r="A71" s="296" t="s">
        <v>310</v>
      </c>
      <c r="B71" s="297">
        <f>E36</f>
        <v>9417000</v>
      </c>
    </row>
    <row r="74" spans="1:38" ht="15.75" x14ac:dyDescent="0.25">
      <c r="A74" s="444" t="s">
        <v>313</v>
      </c>
      <c r="B74" s="444"/>
    </row>
    <row r="75" spans="1:38" x14ac:dyDescent="0.25">
      <c r="A75" s="304" t="s">
        <v>114</v>
      </c>
      <c r="B75" s="305" t="s">
        <v>176</v>
      </c>
    </row>
    <row r="76" spans="1:38" x14ac:dyDescent="0.25">
      <c r="A76" s="306" t="str">
        <f>inputdata!K64</f>
        <v xml:space="preserve"> Poultry</v>
      </c>
      <c r="B76" s="307"/>
    </row>
    <row r="77" spans="1:38" x14ac:dyDescent="0.25">
      <c r="A77" s="306" t="str">
        <f>inputdata!K65</f>
        <v xml:space="preserve"> sheep</v>
      </c>
      <c r="B77" s="307"/>
    </row>
    <row r="78" spans="1:38" x14ac:dyDescent="0.25">
      <c r="A78" s="306" t="str">
        <f>inputdata!K66</f>
        <v xml:space="preserve"> cattle</v>
      </c>
      <c r="B78" s="307">
        <v>15</v>
      </c>
    </row>
    <row r="79" spans="1:38" x14ac:dyDescent="0.25">
      <c r="A79" s="308" t="s">
        <v>35</v>
      </c>
      <c r="B79" s="305" t="s">
        <v>176</v>
      </c>
    </row>
    <row r="80" spans="1:38" x14ac:dyDescent="0.25">
      <c r="A80" s="309" t="str">
        <f>inputdata!A53</f>
        <v xml:space="preserve">P Fertilizer </v>
      </c>
      <c r="B80" s="309"/>
    </row>
    <row r="81" spans="1:2" x14ac:dyDescent="0.25">
      <c r="A81" s="306" t="str">
        <f>inputdata!A54</f>
        <v>Monoammonium phosphate</v>
      </c>
      <c r="B81" s="307"/>
    </row>
    <row r="82" spans="1:2" x14ac:dyDescent="0.25">
      <c r="A82" s="306" t="str">
        <f>inputdata!A55</f>
        <v>Diammonium phosphate</v>
      </c>
      <c r="B82" s="307">
        <v>1216</v>
      </c>
    </row>
    <row r="83" spans="1:2" x14ac:dyDescent="0.25">
      <c r="A83" s="306" t="str">
        <f>inputdata!A56</f>
        <v>Urea ammonium phosphate</v>
      </c>
      <c r="B83" s="307"/>
    </row>
    <row r="84" spans="1:2" x14ac:dyDescent="0.25">
      <c r="A84" s="306" t="str">
        <f>inputdata!A57</f>
        <v>Triple superphosphate</v>
      </c>
      <c r="B84" s="307"/>
    </row>
    <row r="85" spans="1:2" x14ac:dyDescent="0.25">
      <c r="A85" s="306" t="str">
        <f>inputdata!A58</f>
        <v>Superphosphate</v>
      </c>
      <c r="B85" s="307"/>
    </row>
    <row r="86" spans="1:2" x14ac:dyDescent="0.25">
      <c r="A86" s="309" t="str">
        <f>inputdata!A59</f>
        <v>K fertilizer</v>
      </c>
      <c r="B86" s="309"/>
    </row>
    <row r="87" spans="1:2" x14ac:dyDescent="0.25">
      <c r="A87" s="306" t="str">
        <f>inputdata!A60</f>
        <v>Potassium nitrate</v>
      </c>
      <c r="B87" s="307"/>
    </row>
    <row r="88" spans="1:2" x14ac:dyDescent="0.25">
      <c r="A88" s="306" t="str">
        <f>inputdata!A61</f>
        <v>Potassium sulphate</v>
      </c>
      <c r="B88" s="307">
        <v>836</v>
      </c>
    </row>
    <row r="89" spans="1:2" x14ac:dyDescent="0.25">
      <c r="A89" s="309" t="str">
        <f>inputdata!A62</f>
        <v>N fertilizer</v>
      </c>
      <c r="B89" s="309"/>
    </row>
    <row r="90" spans="1:2" x14ac:dyDescent="0.25">
      <c r="A90" s="306" t="str">
        <f>inputdata!A63</f>
        <v>Urea</v>
      </c>
      <c r="B90" s="307">
        <v>760</v>
      </c>
    </row>
    <row r="91" spans="1:2" x14ac:dyDescent="0.25">
      <c r="A91" s="306" t="str">
        <f>inputdata!A64</f>
        <v>Urea-ammonium nitrate (UAN)</v>
      </c>
      <c r="B91" s="307"/>
    </row>
  </sheetData>
  <dataConsolidate/>
  <mergeCells count="25">
    <mergeCell ref="A74:B74"/>
    <mergeCell ref="A31:B31"/>
    <mergeCell ref="A39:B39"/>
    <mergeCell ref="A43:B43"/>
    <mergeCell ref="A53:B53"/>
    <mergeCell ref="A57:B57"/>
    <mergeCell ref="A61:B61"/>
    <mergeCell ref="A66:B66"/>
    <mergeCell ref="A35:A37"/>
    <mergeCell ref="A58:A60"/>
    <mergeCell ref="B58:B60"/>
    <mergeCell ref="A62:A65"/>
    <mergeCell ref="B62:B65"/>
    <mergeCell ref="A44:A48"/>
    <mergeCell ref="B44:B48"/>
    <mergeCell ref="A69:B69"/>
    <mergeCell ref="A1:C1"/>
    <mergeCell ref="A8:C8"/>
    <mergeCell ref="A54:A56"/>
    <mergeCell ref="B54:B56"/>
    <mergeCell ref="A34:B34"/>
    <mergeCell ref="A49:B49"/>
    <mergeCell ref="B35:B37"/>
    <mergeCell ref="A50:A52"/>
    <mergeCell ref="B50:B5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P49"/>
  <sheetViews>
    <sheetView topLeftCell="A25" zoomScale="80" zoomScaleNormal="80" workbookViewId="0">
      <selection activeCell="B15" sqref="B15"/>
    </sheetView>
  </sheetViews>
  <sheetFormatPr defaultRowHeight="12.75" x14ac:dyDescent="0.2"/>
  <cols>
    <col min="1" max="2" width="33.42578125" customWidth="1"/>
    <col min="3" max="3" width="29" customWidth="1"/>
    <col min="4" max="4" width="22" bestFit="1" customWidth="1"/>
    <col min="5" max="5" width="25.85546875" customWidth="1"/>
    <col min="6" max="6" width="27.85546875" customWidth="1"/>
    <col min="7" max="7" width="15.7109375" customWidth="1"/>
    <col min="8" max="8" width="18.7109375" customWidth="1"/>
    <col min="9" max="9" width="18.28515625" customWidth="1"/>
    <col min="10" max="11" width="16.7109375" customWidth="1"/>
    <col min="12" max="12" width="14.7109375" customWidth="1"/>
    <col min="13" max="13" width="15.42578125" customWidth="1"/>
    <col min="14" max="14" width="11" customWidth="1"/>
    <col min="15" max="15" width="10.42578125" customWidth="1"/>
    <col min="16" max="16" width="12.85546875" customWidth="1"/>
  </cols>
  <sheetData>
    <row r="1" spans="1:12" ht="25.5" x14ac:dyDescent="0.2">
      <c r="D1" s="456" t="s">
        <v>73</v>
      </c>
      <c r="E1" s="456"/>
      <c r="F1" s="456"/>
      <c r="G1" s="456"/>
      <c r="H1" s="125" t="str">
        <f>'water demand calculation'!H1</f>
        <v xml:space="preserve"> irrigation water supply</v>
      </c>
    </row>
    <row r="2" spans="1:12" x14ac:dyDescent="0.2">
      <c r="D2" s="19" t="str">
        <f>'water demand calculation'!D2</f>
        <v>Ecb ds/m</v>
      </c>
      <c r="E2" s="20" t="str">
        <f>'water demand calculation'!E2</f>
        <v>NO3-N + NH4-N mg/l</v>
      </c>
      <c r="F2" s="20" t="str">
        <f>'water demand calculation'!F2</f>
        <v>P-PO4 mg/l</v>
      </c>
      <c r="G2" s="21" t="str">
        <f>'water demand calculation'!G2</f>
        <v>K mg/l</v>
      </c>
      <c r="H2" s="125" t="str">
        <f>'water demand calculation'!H2</f>
        <v>m3/y</v>
      </c>
    </row>
    <row r="3" spans="1:12" x14ac:dyDescent="0.2">
      <c r="D3" s="15">
        <f>'water demand calculation'!D3</f>
        <v>4</v>
      </c>
      <c r="E3" s="15">
        <f>'water demand calculation'!E3</f>
        <v>21</v>
      </c>
      <c r="F3" s="15">
        <f>'water demand calculation'!F3</f>
        <v>6.5</v>
      </c>
      <c r="G3" s="15">
        <f>'water demand calculation'!G3</f>
        <v>50</v>
      </c>
      <c r="H3" s="89">
        <f>'water demand calculation'!H3</f>
        <v>30.24</v>
      </c>
    </row>
    <row r="4" spans="1:12" x14ac:dyDescent="0.2">
      <c r="C4" s="458" t="s">
        <v>67</v>
      </c>
      <c r="D4" s="458"/>
      <c r="E4" s="458"/>
      <c r="F4" s="458"/>
      <c r="G4" s="458"/>
      <c r="H4" s="89"/>
    </row>
    <row r="5" spans="1:12" x14ac:dyDescent="0.2">
      <c r="C5" s="126" t="str">
        <f>'fertiliser demand calculation'!E5</f>
        <v xml:space="preserve">type </v>
      </c>
      <c r="D5" s="16" t="str">
        <f>'fertiliser demand calculation'!F5</f>
        <v>ton/ha</v>
      </c>
      <c r="E5" s="16" t="str">
        <f>'fertiliser demand calculation'!G5</f>
        <v>N kg/ha</v>
      </c>
      <c r="F5" s="16" t="str">
        <f>'fertiliser demand calculation'!H5</f>
        <v>P kg/ha</v>
      </c>
      <c r="G5" s="16" t="str">
        <f>'fertiliser demand calculation'!I5</f>
        <v>K kg/ha</v>
      </c>
      <c r="H5" s="89"/>
    </row>
    <row r="6" spans="1:12" ht="19.5" customHeight="1" x14ac:dyDescent="0.2">
      <c r="C6" s="127" t="str">
        <f>'fertiliser demand calculation'!E6</f>
        <v xml:space="preserve"> cattle</v>
      </c>
      <c r="D6">
        <f>'fertiliser demand calculation'!F6</f>
        <v>0</v>
      </c>
      <c r="E6">
        <f>'fertiliser demand calculation'!G6</f>
        <v>0</v>
      </c>
      <c r="F6" s="45">
        <f>'fertiliser demand calculation'!H6</f>
        <v>0</v>
      </c>
      <c r="G6">
        <f>'fertiliser demand calculation'!I6</f>
        <v>0</v>
      </c>
    </row>
    <row r="7" spans="1:12" ht="24.75" customHeight="1" x14ac:dyDescent="0.2">
      <c r="F7" s="45"/>
    </row>
    <row r="8" spans="1:12" ht="15" customHeight="1" x14ac:dyDescent="0.2">
      <c r="B8" s="24"/>
      <c r="C8" s="24"/>
      <c r="D8" s="24"/>
      <c r="F8" s="454" t="s">
        <v>51</v>
      </c>
      <c r="G8" s="454"/>
      <c r="H8" s="454"/>
      <c r="I8" s="457" t="s">
        <v>76</v>
      </c>
      <c r="J8" s="457"/>
      <c r="K8" s="457"/>
      <c r="L8" s="451" t="str">
        <f>'fertiliser demand calculation'!K10</f>
        <v>excessive N kg/ha</v>
      </c>
    </row>
    <row r="9" spans="1:12" ht="30.75" customHeight="1" x14ac:dyDescent="0.2">
      <c r="A9" s="206" t="str">
        <f>Variable!B3</f>
        <v xml:space="preserve">spring-summer season </v>
      </c>
      <c r="B9" s="452" t="s">
        <v>205</v>
      </c>
      <c r="C9" s="199" t="str">
        <f>'water demand calculation'!E5</f>
        <v>Leaching requirment</v>
      </c>
      <c r="D9" s="199"/>
      <c r="E9" s="205" t="str">
        <f>'water demand calculation'!G5</f>
        <v>Total irrgation with leaching</v>
      </c>
      <c r="F9" s="453" t="str">
        <f>'fertiliser demand calculation'!E10</f>
        <v>N-  from irrigation water kg/ha</v>
      </c>
      <c r="G9" s="453" t="str">
        <f>'fertiliser demand calculation'!F10</f>
        <v>P-PO4 from irrigation water kg/ha</v>
      </c>
      <c r="H9" s="453" t="str">
        <f>'fertiliser demand calculation'!G10</f>
        <v>K from irrigation water kg/ha</v>
      </c>
      <c r="I9" s="455" t="str">
        <f>'fertiliser demand calculation'!H10</f>
        <v>chemical fertiliser demand N kg/ha</v>
      </c>
      <c r="J9" s="455" t="str">
        <f>'fertiliser demand calculation'!I10</f>
        <v>chemical fertiliser demand P kg/ha</v>
      </c>
      <c r="K9" s="455" t="str">
        <f>'fertiliser demand calculation'!J10</f>
        <v>chemical fertiliser demand K kg/ha</v>
      </c>
      <c r="L9" s="451"/>
    </row>
    <row r="10" spans="1:12" ht="33" customHeight="1" x14ac:dyDescent="0.2">
      <c r="A10" s="198" t="str">
        <f>'water demand calculation'!A6</f>
        <v>crops</v>
      </c>
      <c r="B10" s="452"/>
      <c r="C10" s="200" t="str">
        <f>'water demand calculation'!E6</f>
        <v>LR%</v>
      </c>
      <c r="D10" s="201" t="s">
        <v>160</v>
      </c>
      <c r="E10" s="202" t="str">
        <f>'water demand calculation'!G6</f>
        <v>TR m3/ha</v>
      </c>
      <c r="F10" s="453"/>
      <c r="G10" s="453"/>
      <c r="H10" s="453"/>
      <c r="I10" s="455"/>
      <c r="J10" s="455"/>
      <c r="K10" s="455"/>
      <c r="L10" s="451"/>
    </row>
    <row r="11" spans="1:12" x14ac:dyDescent="0.2">
      <c r="A11" s="203" t="str">
        <f>'water demand calculation'!A7</f>
        <v xml:space="preserve">wheat </v>
      </c>
      <c r="B11" s="204" t="str">
        <f>'water demand calculation'!D7</f>
        <v/>
      </c>
      <c r="C11" s="204" t="str">
        <f>'water demand calculation'!E7</f>
        <v/>
      </c>
      <c r="D11" s="204" t="str">
        <f>'water demand calculation'!F7</f>
        <v/>
      </c>
      <c r="E11" s="67" t="str">
        <f>'water demand calculation'!G7</f>
        <v/>
      </c>
      <c r="F11" s="67" t="str">
        <f>'fertiliser demand calculation'!E11</f>
        <v/>
      </c>
      <c r="G11" s="67" t="str">
        <f>'fertiliser demand calculation'!F11</f>
        <v/>
      </c>
      <c r="H11" s="67" t="str">
        <f>'fertiliser demand calculation'!G11</f>
        <v/>
      </c>
      <c r="I11" s="68" t="str">
        <f>'fertiliser demand calculation'!H11</f>
        <v/>
      </c>
      <c r="J11" s="68" t="str">
        <f>'fertiliser demand calculation'!I11</f>
        <v/>
      </c>
      <c r="K11" s="68" t="str">
        <f>'fertiliser demand calculation'!J11</f>
        <v/>
      </c>
      <c r="L11" s="67" t="str">
        <f>'fertiliser demand calculation'!K11</f>
        <v/>
      </c>
    </row>
    <row r="12" spans="1:12" x14ac:dyDescent="0.2">
      <c r="A12" s="203" t="str">
        <f>'water demand calculation'!A8</f>
        <v>barley</v>
      </c>
      <c r="B12" s="204" t="str">
        <f>'water demand calculation'!D8</f>
        <v/>
      </c>
      <c r="C12" s="204" t="str">
        <f>'water demand calculation'!E8</f>
        <v/>
      </c>
      <c r="D12" s="204" t="str">
        <f>'water demand calculation'!F8</f>
        <v/>
      </c>
      <c r="E12" s="67" t="str">
        <f>'water demand calculation'!G8</f>
        <v/>
      </c>
      <c r="F12" s="67" t="str">
        <f>'fertiliser demand calculation'!E12</f>
        <v/>
      </c>
      <c r="G12" s="67" t="str">
        <f>'fertiliser demand calculation'!F12</f>
        <v/>
      </c>
      <c r="H12" s="67" t="str">
        <f>'fertiliser demand calculation'!G12</f>
        <v/>
      </c>
      <c r="I12" s="68" t="str">
        <f>'fertiliser demand calculation'!H12</f>
        <v/>
      </c>
      <c r="J12" s="68" t="str">
        <f>'fertiliser demand calculation'!I12</f>
        <v/>
      </c>
      <c r="K12" s="68" t="str">
        <f>'fertiliser demand calculation'!J12</f>
        <v/>
      </c>
      <c r="L12" s="67" t="str">
        <f>'fertiliser demand calculation'!K12</f>
        <v/>
      </c>
    </row>
    <row r="13" spans="1:12" x14ac:dyDescent="0.2">
      <c r="A13" s="203" t="str">
        <f>'water demand calculation'!A9</f>
        <v>peas*</v>
      </c>
      <c r="B13" s="204" t="str">
        <f>'water demand calculation'!D9</f>
        <v/>
      </c>
      <c r="C13" s="204" t="str">
        <f>'water demand calculation'!E9</f>
        <v/>
      </c>
      <c r="D13" s="204" t="str">
        <f>'water demand calculation'!F9</f>
        <v/>
      </c>
      <c r="E13" s="67" t="str">
        <f>'water demand calculation'!G9</f>
        <v/>
      </c>
      <c r="F13" s="67" t="str">
        <f>'fertiliser demand calculation'!E13</f>
        <v/>
      </c>
      <c r="G13" s="67" t="str">
        <f>'fertiliser demand calculation'!F13</f>
        <v/>
      </c>
      <c r="H13" s="67" t="str">
        <f>'fertiliser demand calculation'!G13</f>
        <v/>
      </c>
      <c r="I13" s="68" t="str">
        <f>'fertiliser demand calculation'!H13</f>
        <v/>
      </c>
      <c r="J13" s="68" t="str">
        <f>'fertiliser demand calculation'!I13</f>
        <v/>
      </c>
      <c r="K13" s="68" t="str">
        <f>'fertiliser demand calculation'!J13</f>
        <v/>
      </c>
      <c r="L13" s="67" t="str">
        <f>'fertiliser demand calculation'!K13</f>
        <v/>
      </c>
    </row>
    <row r="14" spans="1:12" x14ac:dyDescent="0.2">
      <c r="A14" s="203" t="str">
        <f>'water demand calculation'!A10</f>
        <v>broad beans*</v>
      </c>
      <c r="B14" s="204" t="str">
        <f>'water demand calculation'!D10</f>
        <v/>
      </c>
      <c r="C14" s="204" t="str">
        <f>'water demand calculation'!E10</f>
        <v/>
      </c>
      <c r="D14" s="204" t="str">
        <f>'water demand calculation'!F10</f>
        <v/>
      </c>
      <c r="E14" s="67" t="str">
        <f>'water demand calculation'!G10</f>
        <v/>
      </c>
      <c r="F14" s="67" t="str">
        <f>'fertiliser demand calculation'!E14</f>
        <v/>
      </c>
      <c r="G14" s="67" t="str">
        <f>'fertiliser demand calculation'!F14</f>
        <v/>
      </c>
      <c r="H14" s="67" t="str">
        <f>'fertiliser demand calculation'!G14</f>
        <v/>
      </c>
      <c r="I14" s="68" t="str">
        <f>'fertiliser demand calculation'!H14</f>
        <v/>
      </c>
      <c r="J14" s="68" t="str">
        <f>'fertiliser demand calculation'!I14</f>
        <v/>
      </c>
      <c r="K14" s="68" t="str">
        <f>'fertiliser demand calculation'!J14</f>
        <v/>
      </c>
      <c r="L14" s="67" t="str">
        <f>'fertiliser demand calculation'!K14</f>
        <v/>
      </c>
    </row>
    <row r="15" spans="1:12" x14ac:dyDescent="0.2">
      <c r="A15" s="203" t="str">
        <f>'water demand calculation'!A11</f>
        <v>oat</v>
      </c>
      <c r="B15" s="204" t="str">
        <f>'water demand calculation'!D11</f>
        <v/>
      </c>
      <c r="C15" s="204" t="str">
        <f>'water demand calculation'!E11</f>
        <v/>
      </c>
      <c r="D15" s="204" t="str">
        <f>'water demand calculation'!F11</f>
        <v/>
      </c>
      <c r="E15" s="67" t="str">
        <f>'water demand calculation'!G11</f>
        <v/>
      </c>
      <c r="F15" s="67" t="str">
        <f>'fertiliser demand calculation'!E15</f>
        <v/>
      </c>
      <c r="G15" s="67" t="str">
        <f>'fertiliser demand calculation'!F15</f>
        <v/>
      </c>
      <c r="H15" s="67" t="str">
        <f>'fertiliser demand calculation'!G15</f>
        <v/>
      </c>
      <c r="I15" s="68" t="str">
        <f>'fertiliser demand calculation'!H15</f>
        <v/>
      </c>
      <c r="J15" s="68" t="str">
        <f>'fertiliser demand calculation'!I15</f>
        <v/>
      </c>
      <c r="K15" s="68" t="str">
        <f>'fertiliser demand calculation'!J15</f>
        <v/>
      </c>
      <c r="L15" s="67" t="str">
        <f>'fertiliser demand calculation'!K15</f>
        <v/>
      </c>
    </row>
    <row r="16" spans="1:12" x14ac:dyDescent="0.2">
      <c r="A16" s="203" t="str">
        <f>'water demand calculation'!A12</f>
        <v>potato</v>
      </c>
      <c r="B16" s="204" t="str">
        <f>'water demand calculation'!D12</f>
        <v/>
      </c>
      <c r="C16" s="204" t="str">
        <f>'water demand calculation'!E12</f>
        <v/>
      </c>
      <c r="D16" s="204" t="str">
        <f>'water demand calculation'!F12</f>
        <v/>
      </c>
      <c r="E16" s="67" t="str">
        <f>'water demand calculation'!G12</f>
        <v/>
      </c>
      <c r="F16" s="67" t="str">
        <f>'fertiliser demand calculation'!E16</f>
        <v/>
      </c>
      <c r="G16" s="67" t="str">
        <f>'fertiliser demand calculation'!F16</f>
        <v/>
      </c>
      <c r="H16" s="67" t="str">
        <f>'fertiliser demand calculation'!G16</f>
        <v/>
      </c>
      <c r="I16" s="68" t="str">
        <f>'fertiliser demand calculation'!H16</f>
        <v/>
      </c>
      <c r="J16" s="68" t="str">
        <f>'fertiliser demand calculation'!I16</f>
        <v/>
      </c>
      <c r="K16" s="68" t="str">
        <f>'fertiliser demand calculation'!J16</f>
        <v/>
      </c>
      <c r="L16" s="67" t="str">
        <f>'fertiliser demand calculation'!K16</f>
        <v/>
      </c>
    </row>
    <row r="17" spans="1:16" x14ac:dyDescent="0.2">
      <c r="A17" s="203" t="str">
        <f>'water demand calculation'!A13</f>
        <v>onion</v>
      </c>
      <c r="B17" s="204" t="str">
        <f>'water demand calculation'!D13</f>
        <v xml:space="preserve">drip </v>
      </c>
      <c r="C17" s="204">
        <f>'water demand calculation'!E13</f>
        <v>0.27027027027027023</v>
      </c>
      <c r="D17" s="204" t="str">
        <f>'water demand calculation'!F13</f>
        <v/>
      </c>
      <c r="E17" s="67" t="str">
        <f>'water demand calculation'!G13</f>
        <v/>
      </c>
      <c r="F17" s="67" t="str">
        <f>'fertiliser demand calculation'!E17</f>
        <v/>
      </c>
      <c r="G17" s="67" t="str">
        <f>'fertiliser demand calculation'!F17</f>
        <v/>
      </c>
      <c r="H17" s="67" t="str">
        <f>'fertiliser demand calculation'!G17</f>
        <v/>
      </c>
      <c r="I17" s="68" t="str">
        <f>'fertiliser demand calculation'!H17</f>
        <v/>
      </c>
      <c r="J17" s="68" t="str">
        <f>'fertiliser demand calculation'!I17</f>
        <v/>
      </c>
      <c r="K17" s="68" t="str">
        <f>'fertiliser demand calculation'!J17</f>
        <v/>
      </c>
      <c r="L17" s="67" t="str">
        <f>'fertiliser demand calculation'!K17</f>
        <v/>
      </c>
    </row>
    <row r="18" spans="1:16" x14ac:dyDescent="0.2">
      <c r="A18" s="203" t="str">
        <f>'water demand calculation'!A14</f>
        <v>lettuce and Green-Leaf Crops</v>
      </c>
      <c r="B18" s="204" t="str">
        <f>'water demand calculation'!D14</f>
        <v xml:space="preserve">drip </v>
      </c>
      <c r="C18" s="204">
        <f>'water demand calculation'!E14</f>
        <v>0.22222222222222221</v>
      </c>
      <c r="D18" s="204">
        <f>'water demand calculation'!F14</f>
        <v>0.22222222222222221</v>
      </c>
      <c r="E18" s="67">
        <f>'water demand calculation'!G14</f>
        <v>4371.4285714285716</v>
      </c>
      <c r="F18" s="67">
        <f>'fertiliser demand calculation'!E18</f>
        <v>45.9</v>
      </c>
      <c r="G18" s="67">
        <f>'fertiliser demand calculation'!F18</f>
        <v>28.414285714285715</v>
      </c>
      <c r="H18" s="67">
        <f>'fertiliser demand calculation'!G18</f>
        <v>218.57142857142858</v>
      </c>
      <c r="I18" s="68">
        <f>'fertiliser demand calculation'!H18</f>
        <v>68.099999999999994</v>
      </c>
      <c r="J18" s="68">
        <f>'fertiliser demand calculation'!I18</f>
        <v>0</v>
      </c>
      <c r="K18" s="68">
        <f>'fertiliser demand calculation'!J18</f>
        <v>0</v>
      </c>
      <c r="L18" s="67">
        <f>'fertiliser demand calculation'!K18</f>
        <v>0</v>
      </c>
    </row>
    <row r="19" spans="1:16" x14ac:dyDescent="0.2">
      <c r="A19" s="203" t="str">
        <f>'water demand calculation'!A15</f>
        <v xml:space="preserve">carrot </v>
      </c>
      <c r="B19" s="204" t="str">
        <f>'water demand calculation'!D15</f>
        <v xml:space="preserve">drip </v>
      </c>
      <c r="C19" s="204">
        <f>'water demand calculation'!E15</f>
        <v>0.24691358024691359</v>
      </c>
      <c r="D19" s="204">
        <f>'water demand calculation'!F15</f>
        <v>0.24691358024691359</v>
      </c>
      <c r="E19" s="67">
        <f>'water demand calculation'!G15</f>
        <v>5695.0819672131147</v>
      </c>
      <c r="F19" s="67">
        <f>'fertiliser demand calculation'!E19</f>
        <v>59.798360655737703</v>
      </c>
      <c r="G19" s="67">
        <f>'fertiliser demand calculation'!F19</f>
        <v>37.01803278688525</v>
      </c>
      <c r="H19" s="67">
        <f>'fertiliser demand calculation'!G19</f>
        <v>284.75409836065569</v>
      </c>
      <c r="I19" s="68">
        <f>'fertiliser demand calculation'!H19</f>
        <v>12.701639344262297</v>
      </c>
      <c r="J19" s="68">
        <f>'fertiliser demand calculation'!I19</f>
        <v>0</v>
      </c>
      <c r="K19" s="68">
        <f>'fertiliser demand calculation'!J19</f>
        <v>0</v>
      </c>
      <c r="L19" s="67">
        <f>'fertiliser demand calculation'!K19</f>
        <v>0</v>
      </c>
    </row>
    <row r="20" spans="1:16" x14ac:dyDescent="0.2">
      <c r="A20" s="203" t="str">
        <f>'water demand calculation'!A16</f>
        <v xml:space="preserve">Radish </v>
      </c>
      <c r="B20" s="204" t="str">
        <f>'water demand calculation'!D16</f>
        <v xml:space="preserve">drip </v>
      </c>
      <c r="C20" s="204">
        <f>'water demand calculation'!E16</f>
        <v>0.2247191011235955</v>
      </c>
      <c r="D20" s="204">
        <f>'water demand calculation'!F16</f>
        <v>0.2247191011235955</v>
      </c>
      <c r="E20" s="67">
        <f>'water demand calculation'!G16</f>
        <v>1748.4702093397743</v>
      </c>
      <c r="F20" s="67">
        <f>'fertiliser demand calculation'!E20</f>
        <v>18.358937198067629</v>
      </c>
      <c r="G20" s="67">
        <f>'fertiliser demand calculation'!F20</f>
        <v>11.365056360708532</v>
      </c>
      <c r="H20" s="67">
        <f>'fertiliser demand calculation'!G20</f>
        <v>87.423510466988716</v>
      </c>
      <c r="I20" s="68">
        <f>'fertiliser demand calculation'!H20</f>
        <v>271.64106280193238</v>
      </c>
      <c r="J20" s="68">
        <f>'fertiliser demand calculation'!I20</f>
        <v>29.994943639291467</v>
      </c>
      <c r="K20" s="68">
        <f>'fertiliser demand calculation'!J20</f>
        <v>252.87648953301129</v>
      </c>
      <c r="L20" s="67">
        <f>'fertiliser demand calculation'!K20</f>
        <v>0</v>
      </c>
    </row>
    <row r="21" spans="1:16" x14ac:dyDescent="0.2">
      <c r="A21" s="203" t="str">
        <f>'water demand calculation'!A17</f>
        <v>Millets</v>
      </c>
      <c r="B21" s="204" t="str">
        <f>'water demand calculation'!D17</f>
        <v xml:space="preserve">sprinkle </v>
      </c>
      <c r="C21" s="204">
        <f>'water demand calculation'!E17</f>
        <v>0.15384615384615385</v>
      </c>
      <c r="D21" s="204">
        <f>'water demand calculation'!F17</f>
        <v>0.15384615384615385</v>
      </c>
      <c r="E21" s="67">
        <f>'water demand calculation'!G17</f>
        <v>7752.727272727273</v>
      </c>
      <c r="F21" s="67">
        <f>'fertiliser demand calculation'!E21</f>
        <v>81.403636363636366</v>
      </c>
      <c r="G21" s="67">
        <f>'fertiliser demand calculation'!F21</f>
        <v>50.392727272727271</v>
      </c>
      <c r="H21" s="67">
        <f>'fertiliser demand calculation'!G21</f>
        <v>387.63636363636363</v>
      </c>
      <c r="I21" s="68">
        <f>'fertiliser demand calculation'!H21</f>
        <v>0</v>
      </c>
      <c r="J21" s="68">
        <f>'fertiliser demand calculation'!I21</f>
        <v>0</v>
      </c>
      <c r="K21" s="68">
        <f>'fertiliser demand calculation'!J21</f>
        <v>0</v>
      </c>
      <c r="L21" s="67">
        <f>'fertiliser demand calculation'!K21</f>
        <v>-38.563636363636363</v>
      </c>
    </row>
    <row r="22" spans="1:16" x14ac:dyDescent="0.2">
      <c r="A22" s="203" t="str">
        <f>'water demand calculation'!A18</f>
        <v>tomato</v>
      </c>
      <c r="B22" s="204" t="str">
        <f>'water demand calculation'!D18</f>
        <v xml:space="preserve">drip </v>
      </c>
      <c r="C22" s="204">
        <f>'water demand calculation'!E18</f>
        <v>0.15384615384615385</v>
      </c>
      <c r="D22" s="204">
        <f>'water demand calculation'!F18</f>
        <v>0.15384615384615385</v>
      </c>
      <c r="E22" s="67">
        <f>'water demand calculation'!G18</f>
        <v>7603.030303030303</v>
      </c>
      <c r="F22" s="67">
        <f>'fertiliser demand calculation'!E22</f>
        <v>79.831818181818178</v>
      </c>
      <c r="G22" s="67">
        <f>'fertiliser demand calculation'!F22</f>
        <v>49.419696969696972</v>
      </c>
      <c r="H22" s="67">
        <f>'fertiliser demand calculation'!G22</f>
        <v>380.15151515151513</v>
      </c>
      <c r="I22" s="68">
        <f>'fertiliser demand calculation'!H22</f>
        <v>82.168181818181822</v>
      </c>
      <c r="J22" s="68">
        <f>'fertiliser demand calculation'!I22</f>
        <v>0</v>
      </c>
      <c r="K22" s="68">
        <f>'fertiliser demand calculation'!J22</f>
        <v>0</v>
      </c>
      <c r="L22" s="67">
        <f>'fertiliser demand calculation'!K22</f>
        <v>0</v>
      </c>
    </row>
    <row r="23" spans="1:16" x14ac:dyDescent="0.2">
      <c r="A23" s="203" t="str">
        <f>'water demand calculation'!A19</f>
        <v>water melon</v>
      </c>
      <c r="B23" s="204" t="str">
        <f>'water demand calculation'!D19</f>
        <v xml:space="preserve">drip </v>
      </c>
      <c r="C23" s="204">
        <f>'water demand calculation'!E19</f>
        <v>0.25641025641025644</v>
      </c>
      <c r="D23" s="204" t="str">
        <f>'water demand calculation'!F19</f>
        <v/>
      </c>
      <c r="E23" s="67" t="str">
        <f>'water demand calculation'!G19</f>
        <v/>
      </c>
      <c r="F23" s="67" t="str">
        <f>'fertiliser demand calculation'!E23</f>
        <v/>
      </c>
      <c r="G23" s="67" t="str">
        <f>'fertiliser demand calculation'!F23</f>
        <v/>
      </c>
      <c r="H23" s="67" t="str">
        <f>'fertiliser demand calculation'!G23</f>
        <v/>
      </c>
      <c r="I23" s="68" t="str">
        <f>'fertiliser demand calculation'!H23</f>
        <v/>
      </c>
      <c r="J23" s="68" t="str">
        <f>'fertiliser demand calculation'!I23</f>
        <v/>
      </c>
      <c r="K23" s="68" t="str">
        <f>'fertiliser demand calculation'!J23</f>
        <v/>
      </c>
      <c r="L23" s="67" t="str">
        <f>'fertiliser demand calculation'!K23</f>
        <v/>
      </c>
    </row>
    <row r="24" spans="1:16" x14ac:dyDescent="0.2">
      <c r="A24" s="203" t="str">
        <f>'water demand calculation'!A20</f>
        <v>cucumber</v>
      </c>
      <c r="B24" s="204" t="str">
        <f>'water demand calculation'!D20</f>
        <v xml:space="preserve">drip </v>
      </c>
      <c r="C24" s="204">
        <f>'water demand calculation'!E20</f>
        <v>0.2</v>
      </c>
      <c r="D24" s="204">
        <f>'water demand calculation'!F20</f>
        <v>0.2</v>
      </c>
      <c r="E24" s="67">
        <f>'water demand calculation'!G20</f>
        <v>5430.5555555555547</v>
      </c>
      <c r="F24" s="67">
        <f>'fertiliser demand calculation'!E24</f>
        <v>57.020833333333329</v>
      </c>
      <c r="G24" s="67">
        <f>'fertiliser demand calculation'!F24</f>
        <v>35.298611111111107</v>
      </c>
      <c r="H24" s="67">
        <f>'fertiliser demand calculation'!G24</f>
        <v>271.52777777777777</v>
      </c>
      <c r="I24" s="68">
        <f>'fertiliser demand calculation'!H24</f>
        <v>0</v>
      </c>
      <c r="J24" s="68">
        <f>'fertiliser demand calculation'!I24</f>
        <v>0</v>
      </c>
      <c r="K24" s="68">
        <f>'fertiliser demand calculation'!J24</f>
        <v>0</v>
      </c>
      <c r="L24" s="67">
        <f>'fertiliser demand calculation'!K24</f>
        <v>-31.020833333333329</v>
      </c>
    </row>
    <row r="25" spans="1:16" x14ac:dyDescent="0.2">
      <c r="A25" s="203" t="str">
        <f>'water demand calculation'!A21</f>
        <v>eggplant</v>
      </c>
      <c r="B25" s="204" t="str">
        <f>'water demand calculation'!D21</f>
        <v xml:space="preserve">drip </v>
      </c>
      <c r="C25" s="204">
        <f>'water demand calculation'!E21</f>
        <v>0.12903225806451613</v>
      </c>
      <c r="D25" s="204">
        <f>'water demand calculation'!F21</f>
        <v>0.12903225806451613</v>
      </c>
      <c r="E25" s="67">
        <f>'water demand calculation'!G21</f>
        <v>10065.432098765432</v>
      </c>
      <c r="F25" s="67">
        <f>'fertiliser demand calculation'!E25</f>
        <v>105.68703703703703</v>
      </c>
      <c r="G25" s="67">
        <f>'fertiliser demand calculation'!F25</f>
        <v>65.425308641975306</v>
      </c>
      <c r="H25" s="67">
        <f>'fertiliser demand calculation'!G25</f>
        <v>503.27160493827159</v>
      </c>
      <c r="I25" s="68">
        <f>'fertiliser demand calculation'!H25</f>
        <v>0</v>
      </c>
      <c r="J25" s="68">
        <f>'fertiliser demand calculation'!I25</f>
        <v>0</v>
      </c>
      <c r="K25" s="68">
        <f>'fertiliser demand calculation'!J25</f>
        <v>0</v>
      </c>
      <c r="L25" s="67">
        <f>'fertiliser demand calculation'!K25</f>
        <v>-32.887037037037032</v>
      </c>
    </row>
    <row r="26" spans="1:16" x14ac:dyDescent="0.2">
      <c r="A26" s="203" t="str">
        <f>'water demand calculation'!A22</f>
        <v>pepper</v>
      </c>
      <c r="B26" s="204" t="str">
        <f>'water demand calculation'!D22</f>
        <v xml:space="preserve">drip </v>
      </c>
      <c r="C26" s="204">
        <f>'water demand calculation'!E22</f>
        <v>0.23255813953488372</v>
      </c>
      <c r="D26" s="204">
        <f>'water demand calculation'!F22</f>
        <v>0.23255813953488372</v>
      </c>
      <c r="E26" s="67">
        <f>'water demand calculation'!G22</f>
        <v>11133.670033670032</v>
      </c>
      <c r="F26" s="67">
        <f>'fertiliser demand calculation'!E26</f>
        <v>116.90353535353533</v>
      </c>
      <c r="G26" s="67">
        <f>'fertiliser demand calculation'!F26</f>
        <v>72.368855218855217</v>
      </c>
      <c r="H26" s="67">
        <f>'fertiliser demand calculation'!G26</f>
        <v>556.68350168350162</v>
      </c>
      <c r="I26" s="68">
        <f>'fertiliser demand calculation'!H26</f>
        <v>0</v>
      </c>
      <c r="J26" s="68">
        <f>'fertiliser demand calculation'!I26</f>
        <v>0</v>
      </c>
      <c r="K26" s="68">
        <f>'fertiliser demand calculation'!J26</f>
        <v>0</v>
      </c>
      <c r="L26" s="67">
        <f>'fertiliser demand calculation'!K26</f>
        <v>-80.603535353535335</v>
      </c>
    </row>
    <row r="27" spans="1:16" x14ac:dyDescent="0.2">
      <c r="A27" s="203" t="str">
        <f>'water demand calculation'!A23</f>
        <v>cauliflower</v>
      </c>
      <c r="B27" s="204" t="str">
        <f>'water demand calculation'!D23</f>
        <v xml:space="preserve">drip </v>
      </c>
      <c r="C27" s="204">
        <f>'water demand calculation'!E23</f>
        <v>0.18691588785046731</v>
      </c>
      <c r="D27" s="204">
        <f>'water demand calculation'!F23</f>
        <v>0.18691588785046731</v>
      </c>
      <c r="E27" s="67">
        <f>'water demand calculation'!G23</f>
        <v>5944.4444444444443</v>
      </c>
      <c r="F27" s="67">
        <f>'fertiliser demand calculation'!E27</f>
        <v>62.416666666666664</v>
      </c>
      <c r="G27" s="67">
        <f>'fertiliser demand calculation'!F27</f>
        <v>38.638888888888893</v>
      </c>
      <c r="H27" s="67">
        <f>'fertiliser demand calculation'!G27</f>
        <v>297.22222222222217</v>
      </c>
      <c r="I27" s="68">
        <f>'fertiliser demand calculation'!H27</f>
        <v>0</v>
      </c>
      <c r="J27" s="68">
        <f>'fertiliser demand calculation'!I27</f>
        <v>0</v>
      </c>
      <c r="K27" s="68">
        <f>'fertiliser demand calculation'!J27</f>
        <v>0</v>
      </c>
      <c r="L27" s="67">
        <f>'fertiliser demand calculation'!K27</f>
        <v>-9.4166666666666643</v>
      </c>
    </row>
    <row r="28" spans="1:16" x14ac:dyDescent="0.2">
      <c r="A28" s="203" t="str">
        <f>'water demand calculation'!A24</f>
        <v>olive tree</v>
      </c>
      <c r="B28" s="204" t="str">
        <f>'water demand calculation'!D24</f>
        <v/>
      </c>
      <c r="C28" s="204" t="str">
        <f>'water demand calculation'!E24</f>
        <v/>
      </c>
      <c r="D28" s="204" t="str">
        <f>'water demand calculation'!F24</f>
        <v/>
      </c>
      <c r="E28" s="67" t="str">
        <f>'water demand calculation'!G24</f>
        <v/>
      </c>
      <c r="F28" s="67" t="str">
        <f>'fertiliser demand calculation'!E28</f>
        <v/>
      </c>
      <c r="G28" s="67" t="str">
        <f>'fertiliser demand calculation'!F28</f>
        <v/>
      </c>
      <c r="H28" s="67" t="str">
        <f>'fertiliser demand calculation'!G28</f>
        <v/>
      </c>
      <c r="I28" s="68" t="str">
        <f>'fertiliser demand calculation'!H28</f>
        <v/>
      </c>
      <c r="J28" s="68" t="str">
        <f>'fertiliser demand calculation'!I28</f>
        <v/>
      </c>
      <c r="K28" s="68" t="str">
        <f>'fertiliser demand calculation'!J28</f>
        <v/>
      </c>
      <c r="L28" s="67" t="str">
        <f>'fertiliser demand calculation'!K28</f>
        <v/>
      </c>
      <c r="M28" s="1"/>
      <c r="N28" s="17"/>
      <c r="O28" s="17"/>
      <c r="P28" s="17"/>
    </row>
    <row r="29" spans="1:16" x14ac:dyDescent="0.2">
      <c r="A29" s="203" t="str">
        <f>'water demand calculation'!A25</f>
        <v>palm tree</v>
      </c>
      <c r="B29" s="204" t="str">
        <f>'water demand calculation'!D25</f>
        <v/>
      </c>
      <c r="C29" s="204" t="str">
        <f>'water demand calculation'!E25</f>
        <v/>
      </c>
      <c r="D29" s="204" t="str">
        <f>'water demand calculation'!F25</f>
        <v/>
      </c>
      <c r="E29" s="67" t="str">
        <f>'water demand calculation'!G25</f>
        <v/>
      </c>
      <c r="F29" s="67" t="str">
        <f>'fertiliser demand calculation'!E29</f>
        <v/>
      </c>
      <c r="G29" s="67" t="str">
        <f>'fertiliser demand calculation'!F29</f>
        <v/>
      </c>
      <c r="H29" s="67" t="str">
        <f>'fertiliser demand calculation'!G29</f>
        <v/>
      </c>
      <c r="I29" s="68" t="str">
        <f>'fertiliser demand calculation'!H29</f>
        <v/>
      </c>
      <c r="J29" s="68" t="str">
        <f>'fertiliser demand calculation'!I29</f>
        <v/>
      </c>
      <c r="K29" s="68" t="str">
        <f>'fertiliser demand calculation'!J29</f>
        <v/>
      </c>
      <c r="L29" s="67" t="str">
        <f>'fertiliser demand calculation'!K29</f>
        <v/>
      </c>
      <c r="M29" s="1"/>
      <c r="N29" s="17"/>
      <c r="O29" s="17"/>
      <c r="P29" s="17"/>
    </row>
    <row r="30" spans="1:16" ht="13.5" customHeight="1" x14ac:dyDescent="0.2">
      <c r="A30" s="203" t="str">
        <f>'water demand calculation'!A26</f>
        <v>alfalfa*</v>
      </c>
      <c r="B30" s="204" t="str">
        <f>'water demand calculation'!D26</f>
        <v/>
      </c>
      <c r="C30" s="204" t="str">
        <f>'water demand calculation'!E26</f>
        <v/>
      </c>
      <c r="D30" s="204" t="str">
        <f>'water demand calculation'!F26</f>
        <v/>
      </c>
      <c r="E30" s="67" t="str">
        <f>'water demand calculation'!G26</f>
        <v/>
      </c>
      <c r="F30" s="67" t="str">
        <f>'fertiliser demand calculation'!E30</f>
        <v/>
      </c>
      <c r="G30" s="67" t="str">
        <f>'fertiliser demand calculation'!F30</f>
        <v/>
      </c>
      <c r="H30" s="67" t="str">
        <f>'fertiliser demand calculation'!G30</f>
        <v/>
      </c>
      <c r="I30" s="68" t="str">
        <f>'fertiliser demand calculation'!H30</f>
        <v/>
      </c>
      <c r="J30" s="68" t="str">
        <f>'fertiliser demand calculation'!I30</f>
        <v/>
      </c>
      <c r="K30" s="68" t="str">
        <f>'fertiliser demand calculation'!J30</f>
        <v/>
      </c>
      <c r="L30" s="67" t="str">
        <f>'fertiliser demand calculation'!K30</f>
        <v/>
      </c>
      <c r="N30" s="17"/>
      <c r="O30" s="17"/>
      <c r="P30" s="17"/>
    </row>
    <row r="31" spans="1:16" ht="13.5" customHeight="1" x14ac:dyDescent="0.2"/>
    <row r="32" spans="1:16" ht="13.5" customHeight="1" x14ac:dyDescent="0.2"/>
    <row r="33" spans="6:7" ht="13.5" customHeight="1" x14ac:dyDescent="0.2"/>
    <row r="34" spans="6:7" ht="17.25" customHeight="1" x14ac:dyDescent="0.2">
      <c r="F34" s="1"/>
      <c r="G34" s="1"/>
    </row>
    <row r="35" spans="6:7" ht="25.5" customHeight="1" x14ac:dyDescent="0.2"/>
    <row r="49" ht="15" customHeight="1" x14ac:dyDescent="0.2"/>
  </sheetData>
  <dataConsolidate/>
  <mergeCells count="12">
    <mergeCell ref="D1:G1"/>
    <mergeCell ref="I8:K8"/>
    <mergeCell ref="J9:J10"/>
    <mergeCell ref="K9:K10"/>
    <mergeCell ref="C4:G4"/>
    <mergeCell ref="F9:F10"/>
    <mergeCell ref="G9:G10"/>
    <mergeCell ref="L8:L10"/>
    <mergeCell ref="B9:B10"/>
    <mergeCell ref="H9:H10"/>
    <mergeCell ref="F8:H8"/>
    <mergeCell ref="I9:I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11"/>
  <sheetViews>
    <sheetView topLeftCell="A6" zoomScale="79" zoomScaleNormal="79" workbookViewId="0">
      <selection activeCell="T16" sqref="T16"/>
    </sheetView>
  </sheetViews>
  <sheetFormatPr defaultRowHeight="12.75" x14ac:dyDescent="0.2"/>
  <cols>
    <col min="1" max="1" width="10.28515625" customWidth="1"/>
    <col min="2" max="2" width="8.85546875" customWidth="1"/>
    <col min="3" max="3" width="14" customWidth="1"/>
    <col min="4" max="4" width="11.28515625" customWidth="1"/>
    <col min="5" max="5" width="13.42578125" customWidth="1"/>
    <col min="6" max="6" width="8.42578125" customWidth="1"/>
    <col min="7" max="7" width="10.5703125" customWidth="1"/>
    <col min="8" max="8" width="14.28515625" customWidth="1"/>
    <col min="9" max="9" width="15.28515625" customWidth="1"/>
    <col min="10" max="10" width="12.42578125" customWidth="1"/>
    <col min="12" max="12" width="10.42578125" customWidth="1"/>
    <col min="13" max="13" width="12.85546875" customWidth="1"/>
    <col min="14" max="14" width="12.28515625" customWidth="1"/>
    <col min="15" max="15" width="10.140625" customWidth="1"/>
    <col min="16" max="16" width="12.85546875" customWidth="1"/>
    <col min="17" max="17" width="8" customWidth="1"/>
    <col min="18" max="18" width="10" customWidth="1"/>
    <col min="19" max="19" width="12.28515625" customWidth="1"/>
    <col min="20" max="20" width="15.28515625" customWidth="1"/>
    <col min="21" max="21" width="12.140625" customWidth="1"/>
  </cols>
  <sheetData>
    <row r="1" spans="1:21" ht="15" x14ac:dyDescent="0.25">
      <c r="A1" s="227"/>
      <c r="B1" s="227"/>
      <c r="C1" s="227"/>
      <c r="D1" s="227"/>
      <c r="E1" s="227"/>
      <c r="F1" s="227"/>
      <c r="G1" s="227"/>
      <c r="H1" s="227"/>
      <c r="I1" s="227"/>
      <c r="J1" s="227"/>
      <c r="K1" s="227"/>
      <c r="L1" s="227"/>
      <c r="M1" s="227"/>
      <c r="N1" s="227"/>
      <c r="O1" s="227"/>
      <c r="P1" s="227"/>
      <c r="Q1" s="227"/>
      <c r="R1" s="227"/>
      <c r="S1" s="227"/>
      <c r="T1" s="227"/>
      <c r="U1" s="227"/>
    </row>
    <row r="2" spans="1:21" ht="18.75" x14ac:dyDescent="0.3">
      <c r="A2" s="227"/>
      <c r="B2" s="227"/>
      <c r="C2" s="227"/>
      <c r="D2" s="228" t="s">
        <v>234</v>
      </c>
      <c r="E2" s="227"/>
      <c r="F2" s="227"/>
      <c r="G2" s="227"/>
      <c r="H2" s="227"/>
      <c r="I2" s="227"/>
      <c r="J2" s="227"/>
      <c r="K2" s="227"/>
      <c r="L2" s="227"/>
      <c r="M2" s="227"/>
      <c r="N2" s="228" t="s">
        <v>235</v>
      </c>
      <c r="O2" s="227"/>
      <c r="P2" s="227"/>
      <c r="Q2" s="227"/>
      <c r="R2" s="227"/>
      <c r="S2" s="227"/>
      <c r="T2" s="227"/>
      <c r="U2" s="227"/>
    </row>
    <row r="3" spans="1:21" ht="15" x14ac:dyDescent="0.25">
      <c r="C3" s="227"/>
      <c r="D3" s="227"/>
      <c r="E3" s="227"/>
      <c r="F3" s="227"/>
      <c r="G3" s="227"/>
      <c r="H3" s="227"/>
      <c r="I3" s="227"/>
      <c r="J3" s="227"/>
      <c r="K3" s="227"/>
      <c r="L3" s="227"/>
      <c r="M3" s="227"/>
      <c r="O3" s="227"/>
      <c r="P3" s="227"/>
      <c r="Q3" s="227"/>
      <c r="R3" s="227"/>
      <c r="S3" s="227"/>
      <c r="T3" s="227"/>
      <c r="U3" s="227"/>
    </row>
    <row r="4" spans="1:21" ht="15.75" thickBot="1" x14ac:dyDescent="0.3">
      <c r="A4" s="227"/>
      <c r="B4" s="227"/>
      <c r="C4" s="227"/>
      <c r="D4" s="227" t="s">
        <v>236</v>
      </c>
      <c r="E4" s="227"/>
      <c r="F4" s="227"/>
      <c r="G4" s="227"/>
      <c r="H4" s="227"/>
      <c r="I4" s="227"/>
      <c r="J4" s="227"/>
      <c r="K4" s="227"/>
      <c r="L4" s="227"/>
      <c r="M4" s="227"/>
      <c r="N4" s="227" t="s">
        <v>237</v>
      </c>
      <c r="O4" s="227"/>
      <c r="P4" s="227"/>
      <c r="Q4" s="227"/>
      <c r="R4" s="227"/>
      <c r="S4" s="227"/>
      <c r="T4" s="227"/>
      <c r="U4" s="227"/>
    </row>
    <row r="5" spans="1:21" ht="93" customHeight="1" thickBot="1" x14ac:dyDescent="0.3">
      <c r="A5" s="369"/>
      <c r="B5" s="237" t="s">
        <v>248</v>
      </c>
      <c r="C5" s="237" t="str">
        <f>inputdata!A39</f>
        <v xml:space="preserve">conventional activated sludge </v>
      </c>
      <c r="D5" s="237" t="str">
        <f>inputdata!$A40</f>
        <v>on site( Three-tank system )</v>
      </c>
      <c r="E5" s="237" t="str">
        <f>inputdata!A41</f>
        <v>on site(Three-tank system +sand Filter)</v>
      </c>
      <c r="F5" s="237" t="str">
        <f>inputdata!A42</f>
        <v>septic tank+   (WSP)</v>
      </c>
      <c r="G5" s="237" t="str">
        <f>inputdata!A43</f>
        <v>treatment plant  (WSP)</v>
      </c>
      <c r="H5" s="237" t="str">
        <f>inputdata!$A44</f>
        <v>treatment plant (Conventional activated sludge+ disinfection)</v>
      </c>
      <c r="I5" s="237" t="str">
        <f>inputdata!A45</f>
        <v>Activated sludge+ Biological Nitrogen Removal (MLE)+ disinfection</v>
      </c>
      <c r="J5" s="237" t="str">
        <f>inputdata!$A46</f>
        <v>Activated sludge+ Ultrfiltration+ reverse osmosis</v>
      </c>
      <c r="K5" s="370"/>
      <c r="L5" s="229"/>
      <c r="M5" s="237" t="s">
        <v>248</v>
      </c>
      <c r="N5" s="237" t="str">
        <f>inputdata!A39</f>
        <v xml:space="preserve">conventional activated sludge </v>
      </c>
      <c r="O5" s="237" t="str">
        <f>inputdata!A40</f>
        <v>on site( Three-tank system )</v>
      </c>
      <c r="P5" s="237" t="str">
        <f>inputdata!A41</f>
        <v>on site(Three-tank system +sand Filter)</v>
      </c>
      <c r="Q5" s="237" t="str">
        <f>inputdata!A42</f>
        <v>septic tank+   (WSP)</v>
      </c>
      <c r="R5" s="237" t="str">
        <f>inputdata!A43</f>
        <v>treatment plant  (WSP)</v>
      </c>
      <c r="S5" s="237" t="str">
        <f>inputdata!A44</f>
        <v>treatment plant (Conventional activated sludge+ disinfection)</v>
      </c>
      <c r="T5" s="237" t="str">
        <f>inputdata!A45</f>
        <v>Activated sludge+ Biological Nitrogen Removal (MLE)+ disinfection</v>
      </c>
      <c r="U5" s="237" t="str">
        <f>inputdata!A46</f>
        <v>Activated sludge+ Ultrfiltration+ reverse osmosis</v>
      </c>
    </row>
    <row r="6" spans="1:21" ht="15.75" thickBot="1" x14ac:dyDescent="0.3">
      <c r="A6" s="240"/>
      <c r="B6" s="237"/>
      <c r="C6" s="237" t="str">
        <f>inputdata!B39</f>
        <v>T1</v>
      </c>
      <c r="D6" s="237" t="str">
        <f>inputdata!B40</f>
        <v>T2</v>
      </c>
      <c r="E6" s="237" t="str">
        <f>inputdata!B41</f>
        <v>T3</v>
      </c>
      <c r="F6" s="237" t="str">
        <f>inputdata!B42</f>
        <v>T4</v>
      </c>
      <c r="G6" s="237" t="str">
        <f>inputdata!B43</f>
        <v>T5</v>
      </c>
      <c r="H6" s="237" t="str">
        <f>inputdata!B44</f>
        <v>T6</v>
      </c>
      <c r="I6" s="237" t="str">
        <f>inputdata!B45</f>
        <v>T7</v>
      </c>
      <c r="J6" s="237" t="str">
        <f>inputdata!B46</f>
        <v>T8</v>
      </c>
      <c r="K6" s="227"/>
      <c r="L6" s="277"/>
      <c r="M6" s="237"/>
      <c r="N6" s="237" t="str">
        <f>inputdata!B39</f>
        <v>T1</v>
      </c>
      <c r="O6" s="237" t="str">
        <f>inputdata!B40</f>
        <v>T2</v>
      </c>
      <c r="P6" s="237" t="str">
        <f>inputdata!B41</f>
        <v>T3</v>
      </c>
      <c r="Q6" s="237" t="str">
        <f>inputdata!B42</f>
        <v>T4</v>
      </c>
      <c r="R6" s="237" t="str">
        <f>inputdata!B43</f>
        <v>T5</v>
      </c>
      <c r="S6" s="237" t="str">
        <f>inputdata!B44</f>
        <v>T6</v>
      </c>
      <c r="T6" s="237" t="str">
        <f>inputdata!B45</f>
        <v>T7</v>
      </c>
      <c r="U6" s="237" t="str">
        <f>inputdata!B46</f>
        <v>T8</v>
      </c>
    </row>
    <row r="7" spans="1:21" ht="15.75" thickBot="1" x14ac:dyDescent="0.3">
      <c r="A7" s="459" t="s">
        <v>244</v>
      </c>
      <c r="B7" s="459"/>
      <c r="C7" s="459"/>
      <c r="D7" s="459"/>
      <c r="E7" s="459"/>
      <c r="F7" s="459"/>
      <c r="G7" s="459"/>
      <c r="H7" s="459"/>
      <c r="I7" s="459"/>
      <c r="J7" s="459"/>
      <c r="K7" s="227"/>
      <c r="L7" s="459" t="s">
        <v>244</v>
      </c>
      <c r="M7" s="459"/>
      <c r="N7" s="459"/>
      <c r="O7" s="459"/>
      <c r="P7" s="459"/>
      <c r="Q7" s="459"/>
      <c r="R7" s="459"/>
      <c r="S7" s="459"/>
      <c r="T7" s="459"/>
      <c r="U7" s="459"/>
    </row>
    <row r="8" spans="1:21" ht="27" customHeight="1" thickBot="1" x14ac:dyDescent="0.3">
      <c r="A8" s="232" t="s">
        <v>239</v>
      </c>
      <c r="B8" s="290">
        <f>'Health impact calculation'!B18</f>
        <v>1440</v>
      </c>
      <c r="C8" s="290">
        <f>'Health impact calculation'!C18</f>
        <v>835.19999999999982</v>
      </c>
      <c r="D8" s="290">
        <f>'Health impact calculation'!D18</f>
        <v>835.19999999999982</v>
      </c>
      <c r="E8" s="290">
        <f>'Health impact calculation'!E18</f>
        <v>12.384</v>
      </c>
      <c r="F8" s="290">
        <f>'Health impact calculation'!F18</f>
        <v>123.84</v>
      </c>
      <c r="G8" s="290">
        <f>'Health impact calculation'!G18</f>
        <v>123.84</v>
      </c>
      <c r="H8" s="290">
        <f>'Health impact calculation'!H18</f>
        <v>12.384</v>
      </c>
      <c r="I8" s="290">
        <f>'Health impact calculation'!I18</f>
        <v>12.384</v>
      </c>
      <c r="J8" s="290">
        <f>'Health impact calculation'!J18</f>
        <v>1.2384000000000001E-2</v>
      </c>
      <c r="K8" s="227"/>
      <c r="L8" s="232" t="s">
        <v>239</v>
      </c>
      <c r="M8" s="290">
        <f>'Health impact calculation'!M18</f>
        <v>26.188800000000001</v>
      </c>
      <c r="N8" s="290">
        <f>'Health impact calculation'!N18</f>
        <v>14.665728000000003</v>
      </c>
      <c r="O8" s="290">
        <f>'Health impact calculation'!O18</f>
        <v>14.665728000000003</v>
      </c>
      <c r="P8" s="290">
        <f>'Health impact calculation'!P18</f>
        <v>0.26188800000000001</v>
      </c>
      <c r="Q8" s="290">
        <f>'Health impact calculation'!Q18</f>
        <v>2.5926912</v>
      </c>
      <c r="R8" s="290">
        <f>'Health impact calculation'!R18</f>
        <v>2.5926912</v>
      </c>
      <c r="S8" s="290">
        <f>'Health impact calculation'!S18</f>
        <v>0.26188800000000001</v>
      </c>
      <c r="T8" s="290">
        <f>'Health impact calculation'!T18</f>
        <v>0.26188800000000001</v>
      </c>
      <c r="U8" s="292">
        <f>'Health impact calculation'!U18</f>
        <v>2.8807680000000001E-4</v>
      </c>
    </row>
    <row r="9" spans="1:21" ht="15.75" thickBot="1" x14ac:dyDescent="0.3">
      <c r="A9" s="232" t="s">
        <v>240</v>
      </c>
      <c r="B9" s="290">
        <f>'Health impact calculation'!B19</f>
        <v>8100</v>
      </c>
      <c r="C9" s="290">
        <f>'Health impact calculation'!C19</f>
        <v>178.2</v>
      </c>
      <c r="D9" s="290">
        <f>'Health impact calculation'!D19</f>
        <v>178.2</v>
      </c>
      <c r="E9" s="290">
        <f>'Health impact calculation'!E19</f>
        <v>0.18629999999999999</v>
      </c>
      <c r="F9" s="290">
        <f>'Health impact calculation'!F19</f>
        <v>18.63</v>
      </c>
      <c r="G9" s="290">
        <f>'Health impact calculation'!G19</f>
        <v>18.63</v>
      </c>
      <c r="H9" s="290">
        <f>'Health impact calculation'!H19</f>
        <v>18.63</v>
      </c>
      <c r="I9" s="290">
        <f>'Health impact calculation'!I19</f>
        <v>18.63</v>
      </c>
      <c r="J9" s="290">
        <f>'Health impact calculation'!J19</f>
        <v>0.18629999999999999</v>
      </c>
      <c r="K9" s="227"/>
      <c r="L9" s="232" t="s">
        <v>240</v>
      </c>
      <c r="M9" s="290">
        <f>'Health impact calculation'!M19</f>
        <v>10.459152</v>
      </c>
      <c r="N9" s="290">
        <f>'Health impact calculation'!N19</f>
        <v>1.0753775999999999</v>
      </c>
      <c r="O9" s="290">
        <f>'Health impact calculation'!O19</f>
        <v>1.0753775999999999</v>
      </c>
      <c r="P9" s="290">
        <f>'Health impact calculation'!P19</f>
        <v>1.0901088E-2</v>
      </c>
      <c r="Q9" s="290">
        <f>'Health impact calculation'!Q19</f>
        <v>0.10901088</v>
      </c>
      <c r="R9" s="290">
        <f>'Health impact calculation'!R19</f>
        <v>0.10901088</v>
      </c>
      <c r="S9" s="290">
        <f>'Health impact calculation'!S19</f>
        <v>0.10901088</v>
      </c>
      <c r="T9" s="290">
        <f>'Health impact calculation'!T19</f>
        <v>0.10901088</v>
      </c>
      <c r="U9" s="292">
        <f>'Health impact calculation'!U19</f>
        <v>2.422464E-6</v>
      </c>
    </row>
    <row r="10" spans="1:21" ht="15.75" thickBot="1" x14ac:dyDescent="0.3">
      <c r="A10" s="231" t="s">
        <v>242</v>
      </c>
      <c r="B10" s="290">
        <f>'Health impact calculation'!B20</f>
        <v>9540</v>
      </c>
      <c r="C10" s="290">
        <f>'Health impact calculation'!C20</f>
        <v>1013.3999999999999</v>
      </c>
      <c r="D10" s="290">
        <f>'Health impact calculation'!D20</f>
        <v>1013.3999999999999</v>
      </c>
      <c r="E10" s="290">
        <f>'Health impact calculation'!E20</f>
        <v>12.5703</v>
      </c>
      <c r="F10" s="290">
        <f>'Health impact calculation'!F20</f>
        <v>142.47</v>
      </c>
      <c r="G10" s="290">
        <f>'Health impact calculation'!G20</f>
        <v>142.47</v>
      </c>
      <c r="H10" s="290">
        <f>'Health impact calculation'!H20</f>
        <v>31.013999999999999</v>
      </c>
      <c r="I10" s="290">
        <f>'Health impact calculation'!I20</f>
        <v>31.013999999999999</v>
      </c>
      <c r="J10" s="354">
        <f>'Health impact calculation'!J20</f>
        <v>0.198684</v>
      </c>
      <c r="K10" s="227"/>
      <c r="L10" s="231" t="s">
        <v>242</v>
      </c>
      <c r="M10" s="290">
        <f>'Health impact calculation'!M20</f>
        <v>36.647952000000004</v>
      </c>
      <c r="N10" s="290">
        <f>'Health impact calculation'!N20</f>
        <v>15.741105600000003</v>
      </c>
      <c r="O10" s="290">
        <f>'Health impact calculation'!O20</f>
        <v>15.741105600000003</v>
      </c>
      <c r="P10" s="290">
        <f>'Health impact calculation'!P20</f>
        <v>0.27278908800000001</v>
      </c>
      <c r="Q10" s="290">
        <f>'Health impact calculation'!Q20</f>
        <v>2.70170208</v>
      </c>
      <c r="R10" s="290">
        <f>'Health impact calculation'!R20</f>
        <v>2.70170208</v>
      </c>
      <c r="S10" s="290">
        <f>'Health impact calculation'!S20</f>
        <v>0.37089888000000004</v>
      </c>
      <c r="T10" s="290">
        <f>'Health impact calculation'!T20</f>
        <v>0.37089888000000004</v>
      </c>
      <c r="U10" s="292">
        <f>'Health impact calculation'!U20</f>
        <v>2.9049926399999997E-4</v>
      </c>
    </row>
    <row r="11" spans="1:21" ht="29.25" customHeight="1" thickBot="1" x14ac:dyDescent="0.3">
      <c r="A11" s="231" t="s">
        <v>243</v>
      </c>
      <c r="B11" s="293">
        <f>'Health impact calculation'!B21</f>
        <v>0</v>
      </c>
      <c r="C11" s="293">
        <f>'Health impact calculation'!C21</f>
        <v>0.89377358490566039</v>
      </c>
      <c r="D11" s="293">
        <f>'Health impact calculation'!D21</f>
        <v>0.89377358490566039</v>
      </c>
      <c r="E11" s="293">
        <f>'Health impact calculation'!E21</f>
        <v>0.99868235849056608</v>
      </c>
      <c r="F11" s="293">
        <f>'Health impact calculation'!F21</f>
        <v>0.98506603773584911</v>
      </c>
      <c r="G11" s="293">
        <f>'Health impact calculation'!G21</f>
        <v>0.98506603773584911</v>
      </c>
      <c r="H11" s="293">
        <f>'Health impact calculation'!H21</f>
        <v>0.99674905660377366</v>
      </c>
      <c r="I11" s="293">
        <f>'Health impact calculation'!I21</f>
        <v>0.99674905660377366</v>
      </c>
      <c r="J11" s="293">
        <f>'Health impact calculation'!J21</f>
        <v>0.99997917358490562</v>
      </c>
      <c r="K11" s="227"/>
      <c r="L11" s="289" t="s">
        <v>243</v>
      </c>
      <c r="M11" s="383">
        <f>'Health impact calculation'!M21</f>
        <v>0</v>
      </c>
      <c r="N11" s="383">
        <f>'Health impact calculation'!N21</f>
        <v>0.57047789191603382</v>
      </c>
      <c r="O11" s="383">
        <f>'Health impact calculation'!O21</f>
        <v>0.57047789191603382</v>
      </c>
      <c r="P11" s="383">
        <f>'Health impact calculation'!P21</f>
        <v>0.99255649843680205</v>
      </c>
      <c r="Q11" s="383">
        <f>'Health impact calculation'!Q21</f>
        <v>0.92627958910227792</v>
      </c>
      <c r="R11" s="383">
        <f>'Health impact calculation'!R21</f>
        <v>0.92627958910227792</v>
      </c>
      <c r="S11" s="383">
        <f>'Health impact calculation'!S21</f>
        <v>0.98987941045109429</v>
      </c>
      <c r="T11" s="383">
        <f>'Health impact calculation'!T21</f>
        <v>0.98987941045109429</v>
      </c>
      <c r="U11" s="293">
        <f>'Health impact calculation'!U21</f>
        <v>0.99999207324698536</v>
      </c>
    </row>
  </sheetData>
  <mergeCells count="2">
    <mergeCell ref="A7:J7"/>
    <mergeCell ref="L7:U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2:I26"/>
  <sheetViews>
    <sheetView topLeftCell="A3" zoomScale="87" zoomScaleNormal="87" workbookViewId="0">
      <selection activeCell="H45" sqref="H45"/>
    </sheetView>
  </sheetViews>
  <sheetFormatPr defaultRowHeight="12.75" x14ac:dyDescent="0.2"/>
  <cols>
    <col min="1" max="1" width="15.42578125" bestFit="1" customWidth="1"/>
    <col min="2" max="2" width="22" customWidth="1"/>
    <col min="3" max="3" width="15.28515625" customWidth="1"/>
    <col min="4" max="4" width="15.5703125" customWidth="1"/>
    <col min="6" max="6" width="27.5703125" customWidth="1"/>
    <col min="7" max="7" width="19.7109375" bestFit="1" customWidth="1"/>
    <col min="8" max="8" width="47" customWidth="1"/>
    <col min="9" max="9" width="13.140625" bestFit="1" customWidth="1"/>
  </cols>
  <sheetData>
    <row r="2" spans="1:7" x14ac:dyDescent="0.2">
      <c r="B2" s="338"/>
      <c r="C2" s="338"/>
      <c r="D2" s="338"/>
      <c r="E2" s="338"/>
    </row>
    <row r="3" spans="1:7" ht="20.25" x14ac:dyDescent="0.2">
      <c r="C3" s="338"/>
      <c r="D3" s="338"/>
      <c r="E3" s="338"/>
      <c r="F3" s="465" t="s">
        <v>252</v>
      </c>
      <c r="G3" s="465"/>
    </row>
    <row r="4" spans="1:7" x14ac:dyDescent="0.2">
      <c r="A4" s="338"/>
      <c r="B4" s="338"/>
      <c r="C4" s="338"/>
      <c r="D4" s="338"/>
      <c r="E4" s="338"/>
      <c r="F4" s="338"/>
      <c r="G4" s="338"/>
    </row>
    <row r="5" spans="1:7" ht="27.75" customHeight="1" x14ac:dyDescent="0.2">
      <c r="A5" s="462" t="str">
        <f>'lifeCycle Costs calculation'!A5</f>
        <v xml:space="preserve"> crop </v>
      </c>
      <c r="B5" s="463" t="str">
        <f>'lifeCycle Costs calculation'!D6</f>
        <v xml:space="preserve">select Portion of Area %  </v>
      </c>
      <c r="C5" s="345" t="str">
        <f>'lifeCycle Costs calculation'!E5</f>
        <v>Area</v>
      </c>
      <c r="D5" s="345" t="s">
        <v>330</v>
      </c>
      <c r="E5" s="338"/>
      <c r="F5" s="339" t="s">
        <v>78</v>
      </c>
      <c r="G5" s="340">
        <f>Variable!E11</f>
        <v>0.03</v>
      </c>
    </row>
    <row r="6" spans="1:7" ht="14.25" customHeight="1" x14ac:dyDescent="0.2">
      <c r="A6" s="462"/>
      <c r="B6" s="464"/>
      <c r="C6" s="345" t="s">
        <v>197</v>
      </c>
      <c r="D6" s="345" t="s">
        <v>179</v>
      </c>
      <c r="E6" s="338"/>
      <c r="F6" s="351" t="s">
        <v>84</v>
      </c>
      <c r="G6" s="341">
        <f>Variable!E12</f>
        <v>30</v>
      </c>
    </row>
    <row r="7" spans="1:7" ht="15.75" x14ac:dyDescent="0.2">
      <c r="A7" s="344" t="str">
        <f>'lifeCycle Costs calculation'!A7</f>
        <v xml:space="preserve">wheat </v>
      </c>
      <c r="B7" s="346">
        <f>'lifeCycle Costs calculation'!D7</f>
        <v>0.25</v>
      </c>
      <c r="C7" s="347">
        <f>'lifeCycle Costs calculation'!E7</f>
        <v>1032.8913073010872</v>
      </c>
      <c r="D7" s="348">
        <f>'lifeCycle Costs calculation'!J7</f>
        <v>8006973.4141980279</v>
      </c>
      <c r="E7" s="338"/>
      <c r="F7" s="342" t="s">
        <v>327</v>
      </c>
      <c r="G7" s="342" t="s">
        <v>271</v>
      </c>
    </row>
    <row r="8" spans="1:7" x14ac:dyDescent="0.2">
      <c r="A8" s="344" t="str">
        <f>'lifeCycle Costs calculation'!A8</f>
        <v>barley</v>
      </c>
      <c r="B8" s="346">
        <f>'lifeCycle Costs calculation'!D8</f>
        <v>0.25</v>
      </c>
      <c r="C8" s="347">
        <f>'lifeCycle Costs calculation'!E8</f>
        <v>1032.8913073010872</v>
      </c>
      <c r="D8" s="348">
        <f>'lifeCycle Costs calculation'!J8</f>
        <v>5651981.2335515488</v>
      </c>
      <c r="F8" s="343" t="s">
        <v>306</v>
      </c>
      <c r="G8" s="357">
        <f>'lifeCycle Costs calculation'!D61</f>
        <v>537950000</v>
      </c>
    </row>
    <row r="9" spans="1:7" x14ac:dyDescent="0.2">
      <c r="A9" s="344" t="str">
        <f>'lifeCycle Costs calculation'!A9</f>
        <v>peas*</v>
      </c>
      <c r="B9" s="346" t="str">
        <f>'lifeCycle Costs calculation'!D9</f>
        <v/>
      </c>
      <c r="C9" s="347" t="str">
        <f>'lifeCycle Costs calculation'!E9</f>
        <v/>
      </c>
      <c r="D9" s="348" t="str">
        <f>'lifeCycle Costs calculation'!J9</f>
        <v/>
      </c>
      <c r="F9" s="343" t="s">
        <v>354</v>
      </c>
      <c r="G9" s="357">
        <f>SUM('lifeCycle Costs calculation'!E69:AH69)</f>
        <v>217380507.68559039</v>
      </c>
    </row>
    <row r="10" spans="1:7" x14ac:dyDescent="0.2">
      <c r="A10" s="344" t="str">
        <f>'lifeCycle Costs calculation'!A10</f>
        <v>broad beans*</v>
      </c>
      <c r="B10" s="346" t="str">
        <f>'lifeCycle Costs calculation'!D10</f>
        <v/>
      </c>
      <c r="C10" s="347" t="str">
        <f>'lifeCycle Costs calculation'!E10</f>
        <v/>
      </c>
      <c r="D10" s="348" t="str">
        <f>'lifeCycle Costs calculation'!J10</f>
        <v/>
      </c>
      <c r="F10" s="343" t="s">
        <v>355</v>
      </c>
      <c r="G10" s="357">
        <f>SUM('lifeCycle Costs calculation'!E70:AH70)</f>
        <v>13824505.129993083</v>
      </c>
    </row>
    <row r="11" spans="1:7" x14ac:dyDescent="0.2">
      <c r="A11" s="344" t="str">
        <f>'lifeCycle Costs calculation'!A11</f>
        <v>oat</v>
      </c>
      <c r="B11" s="346">
        <f>'lifeCycle Costs calculation'!D11</f>
        <v>0.3</v>
      </c>
      <c r="C11" s="347">
        <f>'lifeCycle Costs calculation'!E11</f>
        <v>1239.4695687613046</v>
      </c>
      <c r="D11" s="348">
        <f>'lifeCycle Costs calculation'!J11</f>
        <v>7846833.9459140673</v>
      </c>
      <c r="F11" s="350" t="s">
        <v>356</v>
      </c>
      <c r="G11" s="357">
        <f>SUM('lifeCycle Costs calculation'!E71:AH71)</f>
        <v>14953474.284813546</v>
      </c>
    </row>
    <row r="12" spans="1:7" x14ac:dyDescent="0.2">
      <c r="A12" s="344" t="str">
        <f>'lifeCycle Costs calculation'!A12</f>
        <v>potato</v>
      </c>
      <c r="B12" s="346">
        <f>'lifeCycle Costs calculation'!D12</f>
        <v>0.1</v>
      </c>
      <c r="C12" s="347">
        <f>'lifeCycle Costs calculation'!E12</f>
        <v>413.1565229204349</v>
      </c>
      <c r="D12" s="348">
        <f>'lifeCycle Costs calculation'!J12</f>
        <v>23549921.806464788</v>
      </c>
      <c r="E12" s="338"/>
      <c r="F12" s="356" t="str">
        <f>'lifeCycle Costs calculation'!A63</f>
        <v>Total Discounted Costs</v>
      </c>
      <c r="G12" s="358">
        <f>'lifeCycle Costs calculation'!C63</f>
        <v>784108487.10039699</v>
      </c>
    </row>
    <row r="13" spans="1:7" ht="15.75" x14ac:dyDescent="0.2">
      <c r="A13" s="344" t="str">
        <f>'lifeCycle Costs calculation'!A13</f>
        <v>onion</v>
      </c>
      <c r="B13" s="346" t="str">
        <f>'lifeCycle Costs calculation'!D13</f>
        <v/>
      </c>
      <c r="C13" s="347" t="str">
        <f>'lifeCycle Costs calculation'!E13</f>
        <v/>
      </c>
      <c r="D13" s="348" t="str">
        <f>'lifeCycle Costs calculation'!J13</f>
        <v/>
      </c>
      <c r="E13" s="338"/>
      <c r="F13" s="342" t="s">
        <v>328</v>
      </c>
      <c r="G13" s="359" t="s">
        <v>271</v>
      </c>
    </row>
    <row r="14" spans="1:7" ht="38.25" x14ac:dyDescent="0.2">
      <c r="A14" s="349" t="str">
        <f>'lifeCycle Costs calculation'!A14</f>
        <v>lettuce and Green-Leaf Crops</v>
      </c>
      <c r="B14" s="346">
        <f>'lifeCycle Costs calculation'!D14</f>
        <v>0.05</v>
      </c>
      <c r="C14" s="347">
        <f>'lifeCycle Costs calculation'!E14</f>
        <v>206.57826146021745</v>
      </c>
      <c r="D14" s="348">
        <f>'lifeCycle Costs calculation'!J14</f>
        <v>9419968.7225859165</v>
      </c>
      <c r="E14" s="338"/>
      <c r="F14" s="343" t="s">
        <v>357</v>
      </c>
      <c r="G14" s="357">
        <f>SUM('lifeCycle Costs calculation'!E74:AH74)</f>
        <v>1546261139.6784248</v>
      </c>
    </row>
    <row r="15" spans="1:7" x14ac:dyDescent="0.2">
      <c r="A15" s="344" t="str">
        <f>'lifeCycle Costs calculation'!A15</f>
        <v xml:space="preserve">carrot </v>
      </c>
      <c r="B15" s="346">
        <f>'lifeCycle Costs calculation'!D15</f>
        <v>2.5000000000000001E-2</v>
      </c>
      <c r="C15" s="347">
        <f>'lifeCycle Costs calculation'!E15</f>
        <v>103.28913073010872</v>
      </c>
      <c r="D15" s="348">
        <f>'lifeCycle Costs calculation'!J15</f>
        <v>5887480.4516161969</v>
      </c>
      <c r="E15" s="338"/>
      <c r="F15" s="343" t="s">
        <v>358</v>
      </c>
      <c r="G15" s="357">
        <f>SUM('lifeCycle Costs calculation'!E75:AH75)</f>
        <v>184577356.18795693</v>
      </c>
    </row>
    <row r="16" spans="1:7" x14ac:dyDescent="0.2">
      <c r="A16" s="344" t="str">
        <f>'lifeCycle Costs calculation'!A16</f>
        <v xml:space="preserve">Radish </v>
      </c>
      <c r="B16" s="346">
        <f>'lifeCycle Costs calculation'!D16</f>
        <v>2.5000000000000001E-2</v>
      </c>
      <c r="C16" s="347">
        <f>'lifeCycle Costs calculation'!E16</f>
        <v>103.28913073010872</v>
      </c>
      <c r="D16" s="348">
        <f>'lifeCycle Costs calculation'!J16</f>
        <v>1569994.7870976527</v>
      </c>
      <c r="E16" s="338"/>
      <c r="F16" s="356" t="str">
        <f>'lifeCycle Costs calculation'!A64</f>
        <v>Total Discounted Benfits</v>
      </c>
      <c r="G16" s="358">
        <f>'lifeCycle Costs calculation'!C64</f>
        <v>1730838495.8663824</v>
      </c>
    </row>
    <row r="17" spans="1:9" x14ac:dyDescent="0.2">
      <c r="A17" s="344" t="str">
        <f>'lifeCycle Costs calculation'!A17</f>
        <v>Millets</v>
      </c>
      <c r="B17" s="346" t="str">
        <f>'lifeCycle Costs calculation'!D17</f>
        <v/>
      </c>
      <c r="C17" s="347" t="str">
        <f>'lifeCycle Costs calculation'!E17</f>
        <v/>
      </c>
      <c r="D17" s="348" t="str">
        <f>'lifeCycle Costs calculation'!J17</f>
        <v/>
      </c>
      <c r="E17" s="338"/>
      <c r="F17" s="397" t="s">
        <v>194</v>
      </c>
      <c r="G17" s="394">
        <f>'lifeCycle Costs calculation'!C58</f>
        <v>946730008.76598489</v>
      </c>
    </row>
    <row r="18" spans="1:9" x14ac:dyDescent="0.2">
      <c r="A18" s="344" t="str">
        <f>'lifeCycle Costs calculation'!A18</f>
        <v>tomato</v>
      </c>
      <c r="B18" s="346">
        <f>'lifeCycle Costs calculation'!D18</f>
        <v>0.2</v>
      </c>
      <c r="C18" s="347">
        <f>'lifeCycle Costs calculation'!E18</f>
        <v>826.31304584086979</v>
      </c>
      <c r="D18" s="348">
        <f>'lifeCycle Costs calculation'!J18</f>
        <v>16955943.700654648</v>
      </c>
      <c r="E18" s="338"/>
      <c r="F18" s="397" t="s">
        <v>195</v>
      </c>
      <c r="G18" s="395">
        <f>'lifeCycle Costs calculation'!C65</f>
        <v>2.2073967114766946</v>
      </c>
    </row>
    <row r="19" spans="1:9" x14ac:dyDescent="0.2">
      <c r="A19" s="344" t="str">
        <f>'lifeCycle Costs calculation'!A19</f>
        <v>water melon</v>
      </c>
      <c r="B19" s="346" t="str">
        <f>'lifeCycle Costs calculation'!D19</f>
        <v/>
      </c>
      <c r="C19" s="347"/>
      <c r="D19" s="347" t="str">
        <f>'lifeCycle Costs calculation'!J19</f>
        <v/>
      </c>
      <c r="E19" s="338"/>
      <c r="F19" s="397" t="s">
        <v>326</v>
      </c>
      <c r="G19" s="396">
        <f>'lifeCycle Costs calculation'!C66</f>
        <v>0.13861115045809758</v>
      </c>
    </row>
    <row r="20" spans="1:9" x14ac:dyDescent="0.2">
      <c r="A20" s="344" t="str">
        <f>'lifeCycle Costs calculation'!A20</f>
        <v>cucumber</v>
      </c>
      <c r="B20" s="346" t="str">
        <f>'lifeCycle Costs calculation'!D20</f>
        <v/>
      </c>
      <c r="C20" s="347"/>
      <c r="D20" s="347" t="str">
        <f>'lifeCycle Costs calculation'!J20</f>
        <v/>
      </c>
      <c r="E20" s="338"/>
    </row>
    <row r="21" spans="1:9" ht="15" x14ac:dyDescent="0.2">
      <c r="A21" s="344" t="str">
        <f>'lifeCycle Costs calculation'!A21</f>
        <v>eggplant</v>
      </c>
      <c r="B21" s="346" t="str">
        <f>'lifeCycle Costs calculation'!D21</f>
        <v/>
      </c>
      <c r="C21" s="347"/>
      <c r="D21" s="347" t="str">
        <f>'lifeCycle Costs calculation'!J21</f>
        <v/>
      </c>
      <c r="F21" s="466" t="s">
        <v>99</v>
      </c>
      <c r="G21" s="467"/>
      <c r="H21" s="336" t="str">
        <f>INDEX('lifeCycle Costs calculation'!A81:A90,MATCH(Variable!B4,'lifeCycle Costs calculation'!B81:B90,0))</f>
        <v>septic tank+   (WSP)</v>
      </c>
      <c r="I21" s="335" t="str">
        <f>Variable!B4</f>
        <v>T4</v>
      </c>
    </row>
    <row r="22" spans="1:9" ht="15" x14ac:dyDescent="0.2">
      <c r="A22" s="344" t="str">
        <f>'lifeCycle Costs calculation'!A22</f>
        <v>pepper</v>
      </c>
      <c r="B22" s="346" t="str">
        <f>'lifeCycle Costs calculation'!D22</f>
        <v/>
      </c>
      <c r="C22" s="347"/>
      <c r="D22" s="347" t="str">
        <f>'lifeCycle Costs calculation'!J22</f>
        <v/>
      </c>
      <c r="F22" s="460" t="s">
        <v>190</v>
      </c>
      <c r="G22" s="461"/>
      <c r="H22" s="337" t="s">
        <v>331</v>
      </c>
      <c r="I22" s="337">
        <f>'water demand calculation'!H3</f>
        <v>30.24</v>
      </c>
    </row>
    <row r="23" spans="1:9" ht="15" x14ac:dyDescent="0.2">
      <c r="A23" s="344" t="str">
        <f>'lifeCycle Costs calculation'!A23</f>
        <v>cauliflower</v>
      </c>
      <c r="B23" s="346" t="str">
        <f>'lifeCycle Costs calculation'!D23</f>
        <v/>
      </c>
      <c r="C23" s="347"/>
      <c r="D23" s="347" t="str">
        <f>'lifeCycle Costs calculation'!J23</f>
        <v/>
      </c>
      <c r="F23" s="460" t="s">
        <v>329</v>
      </c>
      <c r="G23" s="461"/>
      <c r="H23" s="337" t="s">
        <v>197</v>
      </c>
      <c r="I23" s="337">
        <f>'water demand calculation'!D28</f>
        <v>4131.5652292043487</v>
      </c>
    </row>
    <row r="24" spans="1:9" x14ac:dyDescent="0.2">
      <c r="A24" s="344" t="str">
        <f>'lifeCycle Costs calculation'!A24</f>
        <v>olive tree</v>
      </c>
      <c r="B24" s="346" t="str">
        <f>'lifeCycle Costs calculation'!D24</f>
        <v/>
      </c>
      <c r="C24" s="347"/>
      <c r="D24" s="347" t="str">
        <f>'lifeCycle Costs calculation'!J24</f>
        <v/>
      </c>
      <c r="F24" s="1"/>
      <c r="H24" s="216"/>
    </row>
    <row r="25" spans="1:9" x14ac:dyDescent="0.2">
      <c r="A25" s="344" t="str">
        <f>'lifeCycle Costs calculation'!A25</f>
        <v>palm tree</v>
      </c>
      <c r="B25" s="346" t="str">
        <f>'lifeCycle Costs calculation'!D25</f>
        <v/>
      </c>
      <c r="C25" s="347"/>
      <c r="D25" s="347" t="str">
        <f>'lifeCycle Costs calculation'!J25</f>
        <v/>
      </c>
    </row>
    <row r="26" spans="1:9" x14ac:dyDescent="0.2">
      <c r="A26" s="344" t="str">
        <f>'lifeCycle Costs calculation'!A26</f>
        <v>alfalfa*</v>
      </c>
      <c r="B26" s="346" t="str">
        <f>'lifeCycle Costs calculation'!D26</f>
        <v/>
      </c>
      <c r="C26" s="347"/>
      <c r="D26" s="347" t="str">
        <f>'lifeCycle Costs calculation'!J26</f>
        <v/>
      </c>
    </row>
  </sheetData>
  <mergeCells count="6">
    <mergeCell ref="F22:G22"/>
    <mergeCell ref="F23:G23"/>
    <mergeCell ref="A5:A6"/>
    <mergeCell ref="B5:B6"/>
    <mergeCell ref="F3:G3"/>
    <mergeCell ref="F21:G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A1:AI125"/>
  <sheetViews>
    <sheetView topLeftCell="A37" zoomScale="80" zoomScaleNormal="80" workbookViewId="0">
      <selection activeCell="M46" sqref="M46"/>
    </sheetView>
  </sheetViews>
  <sheetFormatPr defaultRowHeight="12.75" x14ac:dyDescent="0.2"/>
  <cols>
    <col min="1" max="1" width="25.7109375" style="24" customWidth="1"/>
    <col min="2" max="2" width="22.28515625" style="24" customWidth="1"/>
    <col min="3" max="4" width="16.5703125" style="24" customWidth="1"/>
    <col min="5" max="15" width="15.7109375" style="24" customWidth="1"/>
    <col min="16" max="16" width="15.7109375" style="24" bestFit="1" customWidth="1"/>
    <col min="17" max="17" width="15.7109375" style="24" customWidth="1"/>
    <col min="18" max="21" width="15.7109375" style="24" bestFit="1" customWidth="1"/>
    <col min="22" max="22" width="15.7109375" style="24" customWidth="1"/>
    <col min="23" max="34" width="15.7109375" style="24" bestFit="1" customWidth="1"/>
    <col min="35" max="16384" width="9.140625" style="24"/>
  </cols>
  <sheetData>
    <row r="1" spans="1:10" x14ac:dyDescent="0.2">
      <c r="G1" s="239"/>
      <c r="H1" s="239"/>
      <c r="I1" s="27"/>
      <c r="J1" s="5"/>
    </row>
    <row r="2" spans="1:10" x14ac:dyDescent="0.2">
      <c r="G2" s="239"/>
      <c r="H2" s="239"/>
      <c r="I2" s="27"/>
      <c r="J2" s="5"/>
    </row>
    <row r="3" spans="1:10" x14ac:dyDescent="0.2">
      <c r="G3" s="239"/>
      <c r="H3" s="239"/>
      <c r="I3" s="27"/>
      <c r="J3" s="5"/>
    </row>
    <row r="4" spans="1:10" ht="12.75" customHeight="1" x14ac:dyDescent="0.2">
      <c r="G4" s="468" t="s">
        <v>167</v>
      </c>
      <c r="H4" s="468"/>
      <c r="I4" s="469"/>
      <c r="J4" s="121" t="s">
        <v>185</v>
      </c>
    </row>
    <row r="5" spans="1:10" ht="25.5" customHeight="1" x14ac:dyDescent="0.2">
      <c r="A5" s="473" t="s">
        <v>207</v>
      </c>
      <c r="B5" s="471" t="s">
        <v>189</v>
      </c>
      <c r="C5" s="137" t="str">
        <f>'water demand calculation'!E29</f>
        <v>Leaching requirment</v>
      </c>
      <c r="D5" s="24" t="str">
        <f>Variable!C21</f>
        <v xml:space="preserve">select Portion of Area %  </v>
      </c>
      <c r="E5" s="140" t="str">
        <f>'water demand calculation'!C28</f>
        <v>Area</v>
      </c>
      <c r="F5" s="135" t="str">
        <f>'water demand calculation'!I29</f>
        <v xml:space="preserve">total irrigation demend </v>
      </c>
      <c r="G5" s="76" t="str">
        <f>'fertiliser demand calculation'!I34:I34</f>
        <v>Urea</v>
      </c>
      <c r="H5" s="76" t="str">
        <f>'fertiliser demand calculation'!M34</f>
        <v>Diammonium phosphate</v>
      </c>
      <c r="I5" s="77" t="str">
        <f>'fertiliser demand calculation'!Q34</f>
        <v>Potassium sulphate</v>
      </c>
      <c r="J5" s="121"/>
    </row>
    <row r="6" spans="1:10" ht="25.5" customHeight="1" x14ac:dyDescent="0.2">
      <c r="A6" s="474"/>
      <c r="B6" s="472"/>
      <c r="C6" s="137" t="str">
        <f>'water demand calculation'!E30</f>
        <v>LR&lt;25%</v>
      </c>
      <c r="D6" s="24" t="str">
        <f>'water demand calculation'!C30</f>
        <v xml:space="preserve">select Portion of Area %  </v>
      </c>
      <c r="E6" s="12" t="str">
        <f>'water demand calculation'!D30</f>
        <v xml:space="preserve"> ha</v>
      </c>
      <c r="F6" s="79" t="str">
        <f>'water demand calculation'!I30</f>
        <v>IR m3/year</v>
      </c>
      <c r="G6" s="75" t="str">
        <f>'fertiliser demand calculation'!I35:I35</f>
        <v>N Ton/year</v>
      </c>
      <c r="H6" s="75" t="str">
        <f>'fertiliser demand calculation'!M35</f>
        <v>P2O5 Ton/year</v>
      </c>
      <c r="I6" s="75" t="str">
        <f>'fertiliser demand calculation'!Q35</f>
        <v>K2O Ton/year</v>
      </c>
      <c r="J6" s="121" t="s">
        <v>179</v>
      </c>
    </row>
    <row r="7" spans="1:10" x14ac:dyDescent="0.2">
      <c r="A7" s="13" t="str">
        <f>'water demand calculation'!A31</f>
        <v xml:space="preserve">wheat </v>
      </c>
      <c r="B7" t="str">
        <f>'water demand calculation'!B31</f>
        <v xml:space="preserve">sprinkle </v>
      </c>
      <c r="C7" s="2">
        <f>'water demand calculation'!E31</f>
        <v>0.15384615384615385</v>
      </c>
      <c r="D7" s="204">
        <f>'water demand calculation'!C31</f>
        <v>0.25</v>
      </c>
      <c r="E7">
        <f>'water demand calculation'!D31</f>
        <v>1032.8913073010872</v>
      </c>
      <c r="F7" s="216">
        <f>'water demand calculation'!I31</f>
        <v>8040276.3339243419</v>
      </c>
      <c r="G7">
        <f>'fertiliser demand calculation'!I36</f>
        <v>143.07381764571781</v>
      </c>
      <c r="H7">
        <f>'fertiliser demand calculation'!M36</f>
        <v>0</v>
      </c>
      <c r="I7">
        <f>'fertiliser demand calculation'!Q36</f>
        <v>0</v>
      </c>
      <c r="J7" s="95">
        <f>IF(OR(Variable!C22="",'water demand calculation'!I31=""),"",(inputdata!N13*inputdata!P13+inputdata!R13*inputdata!T13)*E7*inputdata!V13)</f>
        <v>8006973.4141980279</v>
      </c>
    </row>
    <row r="8" spans="1:10" x14ac:dyDescent="0.2">
      <c r="A8" s="13" t="str">
        <f>'water demand calculation'!A32</f>
        <v>barley</v>
      </c>
      <c r="B8" t="str">
        <f>'water demand calculation'!B32</f>
        <v xml:space="preserve">drip </v>
      </c>
      <c r="C8" s="2">
        <f>'water demand calculation'!E32</f>
        <v>0.1111111111111111</v>
      </c>
      <c r="D8" s="204">
        <f>'water demand calculation'!C32</f>
        <v>0.25</v>
      </c>
      <c r="E8">
        <f>'water demand calculation'!D32</f>
        <v>1032.8913073010872</v>
      </c>
      <c r="F8" s="216">
        <f>'water demand calculation'!I32</f>
        <v>5593106.429035387</v>
      </c>
      <c r="G8">
        <f>'fertiliser demand calculation'!I37</f>
        <v>80.192221578530891</v>
      </c>
      <c r="H8">
        <f>'fertiliser demand calculation'!M37</f>
        <v>0</v>
      </c>
      <c r="I8">
        <f>'fertiliser demand calculation'!Q37</f>
        <v>0</v>
      </c>
      <c r="J8" s="95">
        <f>IF(OR(Variable!C23="",'water demand calculation'!I32=""),"",(inputdata!N14*inputdata!P14+inputdata!R14*inputdata!T14)*E8*inputdata!V14)</f>
        <v>5651981.2335515488</v>
      </c>
    </row>
    <row r="9" spans="1:10" x14ac:dyDescent="0.2">
      <c r="A9" s="13" t="str">
        <f>'water demand calculation'!A33</f>
        <v>peas*</v>
      </c>
      <c r="B9" t="str">
        <f>'water demand calculation'!B33</f>
        <v xml:space="preserve">drip </v>
      </c>
      <c r="C9" s="2">
        <f>'water demand calculation'!E33</f>
        <v>0.15384615384615385</v>
      </c>
      <c r="D9" s="204" t="str">
        <f>'water demand calculation'!C33</f>
        <v/>
      </c>
      <c r="E9" t="str">
        <f>'water demand calculation'!D33</f>
        <v/>
      </c>
      <c r="F9" s="216" t="str">
        <f>'water demand calculation'!I33</f>
        <v/>
      </c>
      <c r="G9" t="str">
        <f>'fertiliser demand calculation'!I38</f>
        <v/>
      </c>
      <c r="H9" t="str">
        <f>'fertiliser demand calculation'!M38</f>
        <v/>
      </c>
      <c r="I9" t="str">
        <f>'fertiliser demand calculation'!Q38</f>
        <v/>
      </c>
      <c r="J9" s="95" t="str">
        <f>IF(OR(Variable!C24="",'water demand calculation'!I33=""),"",(inputdata!N15*inputdata!P15+inputdata!R15*inputdata!T15)*E9*inputdata!V15)</f>
        <v/>
      </c>
    </row>
    <row r="10" spans="1:10" x14ac:dyDescent="0.2">
      <c r="A10" s="13" t="str">
        <f>'water demand calculation'!A34</f>
        <v>broad beans*</v>
      </c>
      <c r="B10" t="str">
        <f>'water demand calculation'!B34</f>
        <v xml:space="preserve">drip </v>
      </c>
      <c r="C10" s="2">
        <f>'water demand calculation'!E34</f>
        <v>0.16666666666666666</v>
      </c>
      <c r="D10" s="204" t="str">
        <f>'water demand calculation'!C34</f>
        <v/>
      </c>
      <c r="E10" t="str">
        <f>'water demand calculation'!D34</f>
        <v/>
      </c>
      <c r="F10" s="216" t="str">
        <f>'water demand calculation'!I34</f>
        <v/>
      </c>
      <c r="G10" t="str">
        <f>'fertiliser demand calculation'!I39</f>
        <v/>
      </c>
      <c r="H10" t="str">
        <f>'fertiliser demand calculation'!M39</f>
        <v/>
      </c>
      <c r="I10" t="str">
        <f>'fertiliser demand calculation'!Q39</f>
        <v/>
      </c>
      <c r="J10" s="95" t="str">
        <f>IF(OR(Variable!C25="",'water demand calculation'!I34=""),"",(inputdata!N16*inputdata!P16+inputdata!R16*inputdata!T16)*E10*inputdata!V16)</f>
        <v/>
      </c>
    </row>
    <row r="11" spans="1:10" x14ac:dyDescent="0.2">
      <c r="A11" s="13" t="str">
        <f>'water demand calculation'!A35</f>
        <v>oat</v>
      </c>
      <c r="B11" t="str">
        <f>'water demand calculation'!B35</f>
        <v xml:space="preserve">drip </v>
      </c>
      <c r="C11" s="2">
        <f>'water demand calculation'!E35</f>
        <v>9.8039215686274522E-2</v>
      </c>
      <c r="D11" s="204">
        <f>'water demand calculation'!C35</f>
        <v>0.3</v>
      </c>
      <c r="E11">
        <f>'water demand calculation'!D35</f>
        <v>1239.4695687613046</v>
      </c>
      <c r="F11" s="216">
        <f>'water demand calculation'!I35</f>
        <v>4641723.7183756679</v>
      </c>
      <c r="G11">
        <f>'fertiliser demand calculation'!I40</f>
        <v>210.7566875426831</v>
      </c>
      <c r="H11">
        <f>'fertiliser demand calculation'!M40</f>
        <v>0</v>
      </c>
      <c r="I11">
        <f>'fertiliser demand calculation'!Q40</f>
        <v>23.707452999656201</v>
      </c>
      <c r="J11" s="95">
        <f>IF(OR(Variable!C26="",'water demand calculation'!I35=""),"",(inputdata!N17*inputdata!P17+inputdata!R17*inputdata!T17)*E11*inputdata!V17)</f>
        <v>7846833.9459140673</v>
      </c>
    </row>
    <row r="12" spans="1:10" x14ac:dyDescent="0.2">
      <c r="A12" s="13" t="str">
        <f>'water demand calculation'!A36</f>
        <v>potato</v>
      </c>
      <c r="B12" t="str">
        <f>'water demand calculation'!B36</f>
        <v xml:space="preserve">drip </v>
      </c>
      <c r="C12" s="2">
        <f>'water demand calculation'!E36</f>
        <v>0.2</v>
      </c>
      <c r="D12" s="204">
        <f>'water demand calculation'!C36</f>
        <v>0.1</v>
      </c>
      <c r="E12">
        <f>'water demand calculation'!D36</f>
        <v>413.1565229204349</v>
      </c>
      <c r="F12" s="216">
        <f>'water demand calculation'!I36</f>
        <v>2249407.7359001455</v>
      </c>
      <c r="G12">
        <f>'fertiliser demand calculation'!I41</f>
        <v>57.707188255734657</v>
      </c>
      <c r="H12">
        <f>'fertiliser demand calculation'!M41</f>
        <v>0</v>
      </c>
      <c r="I12">
        <f>'fertiliser demand calculation'!Q41</f>
        <v>0</v>
      </c>
      <c r="J12" s="95">
        <f>IF(OR(Variable!C27="",'water demand calculation'!I36=""),"",(inputdata!N18*inputdata!P18+inputdata!R18*inputdata!T18)*E12*inputdata!V18)</f>
        <v>23549921.806464788</v>
      </c>
    </row>
    <row r="13" spans="1:10" x14ac:dyDescent="0.2">
      <c r="A13" s="13" t="str">
        <f>'water demand calculation'!A37</f>
        <v>onion</v>
      </c>
      <c r="B13" t="str">
        <f>'water demand calculation'!B37</f>
        <v/>
      </c>
      <c r="C13" s="2" t="str">
        <f>'water demand calculation'!E37</f>
        <v/>
      </c>
      <c r="D13" s="204" t="str">
        <f>'water demand calculation'!C37</f>
        <v/>
      </c>
      <c r="E13" t="str">
        <f>'water demand calculation'!D37</f>
        <v/>
      </c>
      <c r="F13" s="216" t="str">
        <f>'water demand calculation'!I37</f>
        <v/>
      </c>
      <c r="G13" t="str">
        <f>'fertiliser demand calculation'!I42</f>
        <v/>
      </c>
      <c r="H13" t="str">
        <f>'fertiliser demand calculation'!M42</f>
        <v/>
      </c>
      <c r="I13" t="str">
        <f>'fertiliser demand calculation'!Q42</f>
        <v/>
      </c>
      <c r="J13" s="95" t="str">
        <f>IF(OR(Variable!C28="",'water demand calculation'!I37=""),"",(inputdata!N19*inputdata!P19+inputdata!R19*inputdata!T19)*E13*inputdata!V19)</f>
        <v/>
      </c>
    </row>
    <row r="14" spans="1:10" x14ac:dyDescent="0.2">
      <c r="A14" s="13" t="str">
        <f>'water demand calculation'!A38</f>
        <v>lettuce and Green-Leaf Crops</v>
      </c>
      <c r="B14" t="str">
        <f>'water demand calculation'!B38</f>
        <v xml:space="preserve">drip </v>
      </c>
      <c r="C14" s="2">
        <f>'water demand calculation'!E38</f>
        <v>0.22222222222222221</v>
      </c>
      <c r="D14" s="204">
        <f>'water demand calculation'!C38</f>
        <v>0.05</v>
      </c>
      <c r="E14">
        <f>'water demand calculation'!D38</f>
        <v>206.57826146021745</v>
      </c>
      <c r="F14" s="216">
        <f>'water demand calculation'!I38</f>
        <v>2236947.4598120688</v>
      </c>
      <c r="G14">
        <f>'fertiliser demand calculation'!I43</f>
        <v>25.799828523672826</v>
      </c>
      <c r="H14">
        <f>'fertiliser demand calculation'!M43</f>
        <v>0</v>
      </c>
      <c r="I14">
        <f>'fertiliser demand calculation'!Q43</f>
        <v>0</v>
      </c>
      <c r="J14" s="95">
        <f>IF(OR(Variable!C29="",'water demand calculation'!I38=""),"",(inputdata!N20*inputdata!P20+inputdata!R20*inputdata!T20)*E14*inputdata!V20)</f>
        <v>9419968.7225859165</v>
      </c>
    </row>
    <row r="15" spans="1:10" x14ac:dyDescent="0.2">
      <c r="A15" s="13" t="str">
        <f>'water demand calculation'!A39</f>
        <v xml:space="preserve">carrot </v>
      </c>
      <c r="B15" t="str">
        <f>'water demand calculation'!B39</f>
        <v xml:space="preserve">drip </v>
      </c>
      <c r="C15" s="2">
        <f>'water demand calculation'!E39</f>
        <v>0.24691358024691359</v>
      </c>
      <c r="D15" s="204">
        <f>'water demand calculation'!C39</f>
        <v>2.5000000000000001E-2</v>
      </c>
      <c r="E15">
        <f>'water demand calculation'!D39</f>
        <v>103.28913073010872</v>
      </c>
      <c r="F15" s="216">
        <f>'water demand calculation'!I39</f>
        <v>877788.28476210427</v>
      </c>
      <c r="G15">
        <f>'fertiliser demand calculation'!I44</f>
        <v>6.2690695960565614</v>
      </c>
      <c r="H15">
        <f>'fertiliser demand calculation'!M44</f>
        <v>0.24614175315969278</v>
      </c>
      <c r="I15">
        <f>'fertiliser demand calculation'!Q44</f>
        <v>0</v>
      </c>
      <c r="J15" s="95">
        <f>IF(OR(Variable!C30="",'water demand calculation'!I39=""),"",(inputdata!N21*inputdata!P21+inputdata!R21*inputdata!T21)*E15*inputdata!V21)</f>
        <v>5887480.4516161969</v>
      </c>
    </row>
    <row r="16" spans="1:10" x14ac:dyDescent="0.2">
      <c r="A16" s="13" t="str">
        <f>'water demand calculation'!A40</f>
        <v xml:space="preserve">Radish </v>
      </c>
      <c r="B16" t="str">
        <f>'water demand calculation'!B40</f>
        <v xml:space="preserve">drip </v>
      </c>
      <c r="C16" s="2">
        <f>'water demand calculation'!E40</f>
        <v>0.2247191011235955</v>
      </c>
      <c r="D16" s="204">
        <f>'water demand calculation'!C40</f>
        <v>2.5000000000000001E-2</v>
      </c>
      <c r="E16">
        <f>'water demand calculation'!D40</f>
        <v>103.28913073010872</v>
      </c>
      <c r="F16" s="216">
        <f>'water demand calculation'!I40</f>
        <v>318266.9108728873</v>
      </c>
      <c r="G16">
        <f>'fertiliser demand calculation'!I45</f>
        <v>106.72287499109687</v>
      </c>
      <c r="H16">
        <f>'fertiliser demand calculation'!M45</f>
        <v>32.235941562836295</v>
      </c>
      <c r="I16">
        <f>'fertiliser demand calculation'!Q45</f>
        <v>130.52456839504234</v>
      </c>
      <c r="J16" s="95">
        <f>IF(OR(Variable!C31="",'water demand calculation'!I40=""),"",(inputdata!N22*inputdata!P22+inputdata!R22*inputdata!T22)*E16*inputdata!V22)</f>
        <v>1569994.7870976527</v>
      </c>
    </row>
    <row r="17" spans="1:12" x14ac:dyDescent="0.2">
      <c r="A17" s="13" t="str">
        <f>'water demand calculation'!A41</f>
        <v>Millets</v>
      </c>
      <c r="B17" t="str">
        <f>'water demand calculation'!B41</f>
        <v xml:space="preserve">sprinkle </v>
      </c>
      <c r="C17" s="2">
        <f>'water demand calculation'!E41</f>
        <v>0.15384615384615385</v>
      </c>
      <c r="D17" s="204" t="str">
        <f>'water demand calculation'!C41</f>
        <v/>
      </c>
      <c r="E17" t="str">
        <f>'water demand calculation'!D41</f>
        <v/>
      </c>
      <c r="F17" s="216" t="str">
        <f>'water demand calculation'!I41</f>
        <v/>
      </c>
      <c r="G17" t="str">
        <f>'fertiliser demand calculation'!I46</f>
        <v/>
      </c>
      <c r="H17" t="str">
        <f>'fertiliser demand calculation'!M46</f>
        <v/>
      </c>
      <c r="I17" t="str">
        <f>'fertiliser demand calculation'!Q46</f>
        <v/>
      </c>
      <c r="J17" s="95" t="str">
        <f>IF(OR(Variable!C32="",'water demand calculation'!I41=""),"",(inputdata!N23*inputdata!P23+inputdata!R23*inputdata!T23)*E17*inputdata!V23)</f>
        <v/>
      </c>
    </row>
    <row r="18" spans="1:12" x14ac:dyDescent="0.2">
      <c r="A18" s="13" t="str">
        <f>'water demand calculation'!A42</f>
        <v>tomato</v>
      </c>
      <c r="B18" t="str">
        <f>'water demand calculation'!B42</f>
        <v xml:space="preserve">drip </v>
      </c>
      <c r="C18" s="2">
        <f>'water demand calculation'!E42</f>
        <v>0.15384615384615385</v>
      </c>
      <c r="D18" s="204">
        <f>'water demand calculation'!C42</f>
        <v>0.2</v>
      </c>
      <c r="E18">
        <f>'water demand calculation'!D42</f>
        <v>826.31304584086979</v>
      </c>
      <c r="F18" s="216">
        <f>'water demand calculation'!I42</f>
        <v>6282483.1273174006</v>
      </c>
      <c r="G18">
        <f>'fertiliser demand calculation'!I47</f>
        <v>75.899139502112718</v>
      </c>
      <c r="H18">
        <f>'fertiliser demand calculation'!M47</f>
        <v>0</v>
      </c>
      <c r="I18">
        <f>'fertiliser demand calculation'!Q47</f>
        <v>0</v>
      </c>
      <c r="J18" s="95">
        <f>IF(OR(Variable!C33="",'water demand calculation'!I42=""),"",(inputdata!N24*inputdata!P24+inputdata!R24*inputdata!T24)*E18*inputdata!V24)</f>
        <v>16955943.700654648</v>
      </c>
    </row>
    <row r="19" spans="1:12" x14ac:dyDescent="0.2">
      <c r="A19" s="13" t="str">
        <f>'water demand calculation'!A43</f>
        <v>water melon</v>
      </c>
      <c r="B19" t="str">
        <f>'water demand calculation'!B43</f>
        <v/>
      </c>
      <c r="C19" s="2" t="str">
        <f>'water demand calculation'!E43</f>
        <v/>
      </c>
      <c r="D19" s="204" t="str">
        <f>'water demand calculation'!C43</f>
        <v/>
      </c>
      <c r="E19" t="str">
        <f>'water demand calculation'!D43</f>
        <v/>
      </c>
      <c r="F19" s="216" t="str">
        <f>'water demand calculation'!I43</f>
        <v/>
      </c>
      <c r="G19" t="str">
        <f>'fertiliser demand calculation'!I48</f>
        <v/>
      </c>
      <c r="H19" t="str">
        <f>'fertiliser demand calculation'!M48</f>
        <v/>
      </c>
      <c r="I19" t="str">
        <f>'fertiliser demand calculation'!Q48</f>
        <v/>
      </c>
      <c r="J19" s="95" t="str">
        <f>IF(OR(Variable!C34="",'water demand calculation'!I43=""),"",(inputdata!N25*inputdata!P25+inputdata!R25*inputdata!T25)*E19)</f>
        <v/>
      </c>
    </row>
    <row r="20" spans="1:12" x14ac:dyDescent="0.2">
      <c r="A20" s="13" t="str">
        <f>'water demand calculation'!A44</f>
        <v>cucumber</v>
      </c>
      <c r="B20" t="str">
        <f>'water demand calculation'!B44</f>
        <v xml:space="preserve">drip </v>
      </c>
      <c r="C20" s="2">
        <f>'water demand calculation'!E44</f>
        <v>0.2</v>
      </c>
      <c r="D20" s="204" t="str">
        <f>'water demand calculation'!C44</f>
        <v/>
      </c>
      <c r="E20" t="str">
        <f>'water demand calculation'!D44</f>
        <v/>
      </c>
      <c r="F20" s="216" t="str">
        <f>'water demand calculation'!I44</f>
        <v/>
      </c>
      <c r="G20" t="str">
        <f>'fertiliser demand calculation'!I49</f>
        <v/>
      </c>
      <c r="H20" t="str">
        <f>'fertiliser demand calculation'!M49</f>
        <v/>
      </c>
      <c r="I20" t="str">
        <f>'fertiliser demand calculation'!Q49</f>
        <v/>
      </c>
      <c r="J20" s="95" t="str">
        <f>IF(OR(Variable!C35="",'water demand calculation'!I44=""),"",(inputdata!N26*inputdata!P26+inputdata!R26*inputdata!T26)*E20)</f>
        <v/>
      </c>
    </row>
    <row r="21" spans="1:12" s="25" customFormat="1" x14ac:dyDescent="0.2">
      <c r="A21" s="13" t="str">
        <f>'water demand calculation'!A45</f>
        <v>eggplant</v>
      </c>
      <c r="B21" t="str">
        <f>'water demand calculation'!B45</f>
        <v xml:space="preserve">drip </v>
      </c>
      <c r="C21" s="2">
        <f>'water demand calculation'!E45</f>
        <v>0.12903225806451613</v>
      </c>
      <c r="D21" s="204" t="str">
        <f>'water demand calculation'!C45</f>
        <v/>
      </c>
      <c r="E21" t="str">
        <f>'water demand calculation'!D45</f>
        <v/>
      </c>
      <c r="F21" s="216" t="str">
        <f>'water demand calculation'!I45</f>
        <v/>
      </c>
      <c r="G21" t="str">
        <f>'fertiliser demand calculation'!I50</f>
        <v/>
      </c>
      <c r="H21" t="str">
        <f>'fertiliser demand calculation'!M50</f>
        <v/>
      </c>
      <c r="I21" t="str">
        <f>'fertiliser demand calculation'!Q50</f>
        <v/>
      </c>
      <c r="J21" s="95" t="str">
        <f>IF(OR(Variable!C36="",'water demand calculation'!I45=""),"",(inputdata!N27*inputdata!P27+inputdata!R27*inputdata!T27)*E21)</f>
        <v/>
      </c>
    </row>
    <row r="22" spans="1:12" x14ac:dyDescent="0.2">
      <c r="A22" s="13" t="str">
        <f>'water demand calculation'!A46</f>
        <v>pepper</v>
      </c>
      <c r="B22" t="str">
        <f>'water demand calculation'!B46</f>
        <v xml:space="preserve">drip </v>
      </c>
      <c r="C22" s="2">
        <f>'water demand calculation'!E46</f>
        <v>0.23255813953488372</v>
      </c>
      <c r="D22" s="204" t="str">
        <f>'water demand calculation'!C46</f>
        <v/>
      </c>
      <c r="E22" t="str">
        <f>'water demand calculation'!D46</f>
        <v/>
      </c>
      <c r="F22" s="216" t="str">
        <f>'water demand calculation'!I46</f>
        <v/>
      </c>
      <c r="G22" t="str">
        <f>'fertiliser demand calculation'!I51</f>
        <v/>
      </c>
      <c r="H22" t="str">
        <f>'fertiliser demand calculation'!M51</f>
        <v/>
      </c>
      <c r="I22" t="str">
        <f>'fertiliser demand calculation'!Q51</f>
        <v/>
      </c>
      <c r="J22" s="95" t="str">
        <f>IF(OR(Variable!C37="",'water demand calculation'!I46=""),"",(inputdata!N28*inputdata!P28+inputdata!R28*inputdata!T28)*E22)</f>
        <v/>
      </c>
    </row>
    <row r="23" spans="1:12" x14ac:dyDescent="0.2">
      <c r="A23" s="13" t="str">
        <f>'water demand calculation'!A47</f>
        <v>cauliflower</v>
      </c>
      <c r="B23" t="str">
        <f>'water demand calculation'!B47</f>
        <v xml:space="preserve">drip </v>
      </c>
      <c r="C23" s="2">
        <f>'water demand calculation'!E47</f>
        <v>0.18691588785046731</v>
      </c>
      <c r="D23" s="204" t="str">
        <f>'water demand calculation'!C47</f>
        <v/>
      </c>
      <c r="E23" t="str">
        <f>'water demand calculation'!D47</f>
        <v/>
      </c>
      <c r="F23" s="216" t="str">
        <f>'water demand calculation'!I47</f>
        <v/>
      </c>
      <c r="G23" t="str">
        <f>'fertiliser demand calculation'!I52</f>
        <v/>
      </c>
      <c r="H23" t="str">
        <f>'fertiliser demand calculation'!M52</f>
        <v/>
      </c>
      <c r="I23" t="str">
        <f>'fertiliser demand calculation'!Q52</f>
        <v/>
      </c>
      <c r="J23" s="95" t="str">
        <f>IF(OR(Variable!C38="",'water demand calculation'!I47=""),"",(inputdata!N29*inputdata!P29+inputdata!R29*inputdata!T29)*E23)</f>
        <v/>
      </c>
    </row>
    <row r="24" spans="1:12" x14ac:dyDescent="0.2">
      <c r="A24" s="13" t="str">
        <f>'water demand calculation'!A48</f>
        <v>olive tree</v>
      </c>
      <c r="B24" t="str">
        <f>'water demand calculation'!B48</f>
        <v xml:space="preserve">drip </v>
      </c>
      <c r="C24" s="2">
        <f>'water demand calculation'!E48</f>
        <v>0.16666666666666666</v>
      </c>
      <c r="D24" s="204" t="str">
        <f>'water demand calculation'!C48</f>
        <v/>
      </c>
      <c r="E24" t="str">
        <f>'water demand calculation'!D48</f>
        <v/>
      </c>
      <c r="F24" s="216" t="str">
        <f>'water demand calculation'!I48</f>
        <v/>
      </c>
      <c r="G24" t="str">
        <f>'fertiliser demand calculation'!I53</f>
        <v/>
      </c>
      <c r="H24" t="str">
        <f>'fertiliser demand calculation'!M53</f>
        <v/>
      </c>
      <c r="I24" t="str">
        <f>'fertiliser demand calculation'!Q53</f>
        <v/>
      </c>
      <c r="J24" s="95" t="str">
        <f>IF(OR(Variable!C39="",'water demand calculation'!I48=""),"",(inputdata!N30*inputdata!P30+inputdata!R30*inputdata!T30)*E24)</f>
        <v/>
      </c>
    </row>
    <row r="25" spans="1:12" x14ac:dyDescent="0.2">
      <c r="A25" s="13" t="str">
        <f>'water demand calculation'!A49</f>
        <v>palm tree</v>
      </c>
      <c r="B25" t="str">
        <f>'water demand calculation'!B49</f>
        <v xml:space="preserve">drip </v>
      </c>
      <c r="C25" s="2">
        <f>'water demand calculation'!E49</f>
        <v>6.25E-2</v>
      </c>
      <c r="D25" s="204" t="str">
        <f>'water demand calculation'!C49</f>
        <v/>
      </c>
      <c r="E25" t="str">
        <f>'water demand calculation'!D49</f>
        <v/>
      </c>
      <c r="F25" s="216" t="str">
        <f>'water demand calculation'!I49</f>
        <v/>
      </c>
      <c r="G25" t="str">
        <f>'fertiliser demand calculation'!I54</f>
        <v/>
      </c>
      <c r="H25" t="str">
        <f>'fertiliser demand calculation'!M54</f>
        <v/>
      </c>
      <c r="I25" t="str">
        <f>'fertiliser demand calculation'!Q54</f>
        <v/>
      </c>
      <c r="J25" s="95" t="str">
        <f>IF(OR(Variable!C40="",'water demand calculation'!I49=""),"",(inputdata!N31*inputdata!P31+inputdata!R31*inputdata!T31)*E25)</f>
        <v/>
      </c>
    </row>
    <row r="26" spans="1:12" x14ac:dyDescent="0.2">
      <c r="A26" s="13" t="str">
        <f>'water demand calculation'!A50</f>
        <v>alfalfa*</v>
      </c>
      <c r="B26" t="str">
        <f>'water demand calculation'!B50</f>
        <v/>
      </c>
      <c r="C26" s="2" t="str">
        <f>'water demand calculation'!E50</f>
        <v/>
      </c>
      <c r="D26" s="271" t="str">
        <f>'water demand calculation'!C50</f>
        <v/>
      </c>
      <c r="E26" t="str">
        <f>'water demand calculation'!D50</f>
        <v/>
      </c>
      <c r="F26" s="216" t="str">
        <f>'water demand calculation'!I50</f>
        <v/>
      </c>
      <c r="G26" t="str">
        <f>'fertiliser demand calculation'!I55</f>
        <v/>
      </c>
      <c r="H26" t="str">
        <f>'fertiliser demand calculation'!M55</f>
        <v/>
      </c>
      <c r="I26" t="str">
        <f>'fertiliser demand calculation'!Q55</f>
        <v/>
      </c>
      <c r="J26" s="95" t="str">
        <f>IF(OR(Variable!C41="",'water demand calculation'!I50=""),"",(inputdata!N32*inputdata!P32+inputdata!R32*inputdata!T32)*E26)</f>
        <v/>
      </c>
      <c r="K26" s="28"/>
      <c r="L26" s="28"/>
    </row>
    <row r="27" spans="1:12" ht="23.25" customHeight="1" x14ac:dyDescent="0.2">
      <c r="B27" s="275"/>
      <c r="C27" s="275"/>
      <c r="D27" s="475" t="s">
        <v>187</v>
      </c>
      <c r="E27" s="476"/>
      <c r="F27" s="273">
        <f>'water demand calculation'!I52</f>
        <v>30240000</v>
      </c>
      <c r="G27" s="272">
        <f>'fertiliser demand calculation'!I56</f>
        <v>706.42082763560529</v>
      </c>
      <c r="H27" s="272">
        <f>'fertiliser demand calculation'!M56</f>
        <v>32.482083315995986</v>
      </c>
      <c r="I27" s="274">
        <f>'fertiliser demand calculation'!Q56</f>
        <v>154.23202139469853</v>
      </c>
      <c r="J27" s="142">
        <f>SUM(J7:J26)</f>
        <v>78889098.062082857</v>
      </c>
      <c r="K27" s="212" t="s">
        <v>231</v>
      </c>
      <c r="L27"/>
    </row>
    <row r="28" spans="1:12" x14ac:dyDescent="0.2">
      <c r="A28" s="29"/>
      <c r="B28" s="29"/>
      <c r="C28" s="29"/>
      <c r="D28" s="29"/>
      <c r="E28" s="29"/>
      <c r="F28" s="29"/>
      <c r="G28" s="29"/>
      <c r="H28" s="29"/>
      <c r="I28" s="29"/>
      <c r="J28" s="29"/>
      <c r="K28" s="29"/>
    </row>
    <row r="29" spans="1:12" x14ac:dyDescent="0.2">
      <c r="A29" s="479" t="s">
        <v>193</v>
      </c>
      <c r="B29" s="479"/>
      <c r="C29" s="479"/>
      <c r="F29" s="28"/>
      <c r="G29"/>
      <c r="H29"/>
    </row>
    <row r="30" spans="1:12" x14ac:dyDescent="0.2">
      <c r="A30" s="141" t="s">
        <v>114</v>
      </c>
      <c r="B30" s="141" t="s">
        <v>178</v>
      </c>
      <c r="C30" s="141" t="s">
        <v>183</v>
      </c>
      <c r="E30" s="26"/>
    </row>
    <row r="31" spans="1:12" x14ac:dyDescent="0.2">
      <c r="A31" s="147" t="str">
        <f>Variable!B45</f>
        <v xml:space="preserve"> cattle</v>
      </c>
      <c r="B31" s="147">
        <f>'fertiliser demand calculation'!F6*Variable!A45</f>
        <v>0</v>
      </c>
      <c r="C31" s="148">
        <f>B31*VLOOKUP(A31,'inputdata(costs-benefits) '!A76:B78,2,0)</f>
        <v>0</v>
      </c>
      <c r="E31" s="26"/>
    </row>
    <row r="32" spans="1:12" ht="26.25" customHeight="1" x14ac:dyDescent="0.2">
      <c r="A32" s="149" t="s">
        <v>35</v>
      </c>
      <c r="B32" s="149" t="s">
        <v>178</v>
      </c>
      <c r="C32" s="149" t="s">
        <v>183</v>
      </c>
      <c r="E32" s="26"/>
    </row>
    <row r="33" spans="1:35" x14ac:dyDescent="0.2">
      <c r="A33" s="150" t="str">
        <f>Variable!A49</f>
        <v>Urea</v>
      </c>
      <c r="B33" s="147">
        <f>'fertiliser demand calculation'!I56</f>
        <v>706.42082763560529</v>
      </c>
      <c r="C33" s="148">
        <f>B33*VLOOKUP(A33,'inputdata(costs-benefits) '!A90:B91,2,0)</f>
        <v>536879.82900306</v>
      </c>
      <c r="E33" s="26"/>
    </row>
    <row r="34" spans="1:35" x14ac:dyDescent="0.2">
      <c r="A34" s="150" t="str">
        <f>Variable!B49</f>
        <v>Diammonium phosphate</v>
      </c>
      <c r="B34" s="147">
        <f>'fertiliser demand calculation'!M56</f>
        <v>32.482083315995986</v>
      </c>
      <c r="C34" s="148">
        <f>B34*VLOOKUP(A34,'inputdata(costs-benefits) '!A81:B85,2,0)</f>
        <v>39498.213312251122</v>
      </c>
      <c r="E34" s="26"/>
    </row>
    <row r="35" spans="1:35" s="25" customFormat="1" x14ac:dyDescent="0.2">
      <c r="A35" s="150" t="str">
        <f>Variable!C49</f>
        <v>Potassium sulphate</v>
      </c>
      <c r="B35" s="147">
        <f>'fertiliser demand calculation'!Q56</f>
        <v>154.23202139469853</v>
      </c>
      <c r="C35" s="148">
        <f>B35*VLOOKUP(A35,'inputdata(costs-benefits) '!A87:B88,2,0)</f>
        <v>128937.96988596798</v>
      </c>
      <c r="E35" s="146"/>
    </row>
    <row r="36" spans="1:35" ht="23.25" customHeight="1" x14ac:dyDescent="0.2">
      <c r="A36" s="470" t="s">
        <v>215</v>
      </c>
      <c r="B36" s="470"/>
      <c r="C36" s="353">
        <f>SUM(C31:C35)</f>
        <v>705316.01220127917</v>
      </c>
      <c r="D36" s="27"/>
      <c r="E36" s="26"/>
    </row>
    <row r="37" spans="1:35" x14ac:dyDescent="0.2">
      <c r="D37" s="42"/>
    </row>
    <row r="38" spans="1:35" ht="16.5" x14ac:dyDescent="0.2">
      <c r="B38"/>
      <c r="C38" s="211" t="s">
        <v>230</v>
      </c>
      <c r="D38" s="40">
        <v>0</v>
      </c>
      <c r="E38" s="41">
        <f>IF(ISERROR(IF('costs-benefits results'!$G$6&gt;=E67,D38+1,"Exceeds Project Life")),"",IF('costs-benefits results'!$G$6&gt;=E67,D38+1,"Exceeds Project Life"))</f>
        <v>1</v>
      </c>
      <c r="F38" s="41">
        <f>IF(ISERROR(IF('costs-benefits results'!$G$6&gt;=F67,E38+1,"Exceeds Project Life")),"",IF('costs-benefits results'!$G$6&gt;=F67,E38+1,"Exceeds Project Life"))</f>
        <v>2</v>
      </c>
      <c r="G38" s="41">
        <f>IF(ISERROR(IF('costs-benefits results'!$G$6&gt;=G67,F38+1,"Exceeds Project Life")),"",IF('costs-benefits results'!$G$6&gt;=G67,F38+1,"Exceeds Project Life"))</f>
        <v>3</v>
      </c>
      <c r="H38" s="41">
        <f>IF(ISERROR(IF('costs-benefits results'!$G$6&gt;=H67,G38+1,"Exceeds Project Life")),"",IF('costs-benefits results'!$G$6&gt;=H67,G38+1,"Exceeds Project Life"))</f>
        <v>4</v>
      </c>
      <c r="I38" s="41">
        <f>IF(ISERROR(IF('costs-benefits results'!$G$6&gt;=I67,H38+1,"Exceeds Project Life")),"",IF('costs-benefits results'!$G$6&gt;=I67,H38+1,"Exceeds Project Life"))</f>
        <v>5</v>
      </c>
      <c r="J38" s="41">
        <f>IF(ISERROR(IF('costs-benefits results'!$G$6&gt;=J67,I38+1,"Exceeds Project Life")),"",IF('costs-benefits results'!$G$6&gt;=J67,I38+1,"Exceeds Project Life"))</f>
        <v>6</v>
      </c>
      <c r="K38" s="41">
        <f>IF(ISERROR(IF('costs-benefits results'!$G$6&gt;=K67,J38+1,"Exceeds Project Life")),"",IF('costs-benefits results'!$G$6&gt;=K67,J38+1,"Exceeds Project Life"))</f>
        <v>7</v>
      </c>
      <c r="L38" s="41">
        <f>IF(ISERROR(IF('costs-benefits results'!$G$6&gt;=L67,K38+1,"Exceeds Project Life")),"",IF('costs-benefits results'!$G$6&gt;=L67,K38+1,"Exceeds Project Life"))</f>
        <v>8</v>
      </c>
      <c r="M38" s="41">
        <f>IF(ISERROR(IF('costs-benefits results'!$G$6&gt;=M67,L38+1,"Exceeds Project Life")),"",IF('costs-benefits results'!$G$6&gt;=M67,L38+1,"Exceeds Project Life"))</f>
        <v>9</v>
      </c>
      <c r="N38" s="41">
        <f>IF(ISERROR(IF('costs-benefits results'!$G$6&gt;=N67,M38+1,"Exceeds Project Life")),"",IF('costs-benefits results'!$G$6&gt;=N67,M38+1,"Exceeds Project Life"))</f>
        <v>10</v>
      </c>
      <c r="O38" s="41">
        <f>IF(ISERROR(IF('costs-benefits results'!$G$6&gt;=O67,N38+1,"Exceeds Project Life")),"",IF('costs-benefits results'!$G$6&gt;=O67,N38+1,"Exceeds Project Life"))</f>
        <v>11</v>
      </c>
      <c r="P38" s="41">
        <f>IF(ISERROR(IF('costs-benefits results'!$G$6&gt;=P67,O38+1,"Exceeds Project Life")),"",IF('costs-benefits results'!$G$6&gt;=P67,O38+1,"Exceeds Project Life"))</f>
        <v>12</v>
      </c>
      <c r="Q38" s="41">
        <f>IF(ISERROR(IF('costs-benefits results'!$G$6&gt;=Q67,P38+1,"Exceeds Project Life")),"",IF('costs-benefits results'!$G$6&gt;=Q67,P38+1,"Exceeds Project Life"))</f>
        <v>13</v>
      </c>
      <c r="R38" s="41">
        <f>IF(ISERROR(IF('costs-benefits results'!$G$6&gt;=R67,Q38+1,"Exceeds Project Life")),"",IF('costs-benefits results'!$G$6&gt;=R67,Q38+1,"Exceeds Project Life"))</f>
        <v>14</v>
      </c>
      <c r="S38" s="41">
        <f>IF(ISERROR(IF('costs-benefits results'!$G$6&gt;=S67,R38+1,"Exceeds Project Life")),"",IF('costs-benefits results'!$G$6&gt;=S67,R38+1,"Exceeds Project Life"))</f>
        <v>15</v>
      </c>
      <c r="T38" s="41">
        <f>IF(ISERROR(IF('costs-benefits results'!$G$6&gt;=T67,S38+1,"Exceeds Project Life")),"",IF('costs-benefits results'!$G$6&gt;=T67,S38+1,"Exceeds Project Life"))</f>
        <v>16</v>
      </c>
      <c r="U38" s="41">
        <f>IF(ISERROR(IF('costs-benefits results'!$G$6&gt;=U67,T38+1,"Exceeds Project Life")),"",IF('costs-benefits results'!$G$6&gt;=U67,T38+1,"Exceeds Project Life"))</f>
        <v>17</v>
      </c>
      <c r="V38" s="41">
        <f>IF(ISERROR(IF('costs-benefits results'!$G$6&gt;=V67,U38+1,"Exceeds Project Life")),"",IF('costs-benefits results'!$G$6&gt;=V67,U38+1,"Exceeds Project Life"))</f>
        <v>18</v>
      </c>
      <c r="W38" s="41">
        <f>IF(ISERROR(IF('costs-benefits results'!$G$6&gt;=W67,V38+1,"Exceeds Project Life")),"",IF('costs-benefits results'!$G$6&gt;=W67,V38+1,"Exceeds Project Life"))</f>
        <v>19</v>
      </c>
      <c r="X38" s="41">
        <f>IF(ISERROR(IF('costs-benefits results'!$G$6&gt;=X67,W38+1,"Exceeds Project Life")),"",IF('costs-benefits results'!$G$6&gt;=X67,W38+1,"Exceeds Project Life"))</f>
        <v>20</v>
      </c>
      <c r="Y38" s="41">
        <f>IF(ISERROR(IF('costs-benefits results'!$G$6&gt;=Y67,X38+1,"Exceeds Project Life")),"",IF('costs-benefits results'!$G$6&gt;=Y67,X38+1,"Exceeds Project Life"))</f>
        <v>21</v>
      </c>
      <c r="Z38" s="41">
        <f>IF(ISERROR(IF('costs-benefits results'!$G$6&gt;=Z67,Y38+1,"Exceeds Project Life")),"",IF('costs-benefits results'!$G$6&gt;=Z67,Y38+1,"Exceeds Project Life"))</f>
        <v>22</v>
      </c>
      <c r="AA38" s="41">
        <f>IF(ISERROR(IF('costs-benefits results'!$G$6&gt;=AA67,Z38+1,"Exceeds Project Life")),"",IF('costs-benefits results'!$G$6&gt;=AA67,Z38+1,"Exceeds Project Life"))</f>
        <v>23</v>
      </c>
      <c r="AB38" s="41">
        <f>IF(ISERROR(IF('costs-benefits results'!$G$6&gt;=AB67,AA38+1,"Exceeds Project Life")),"",IF('costs-benefits results'!$G$6&gt;=AB67,AA38+1,"Exceeds Project Life"))</f>
        <v>24</v>
      </c>
      <c r="AC38" s="41">
        <f>IF(ISERROR(IF('costs-benefits results'!$G$6&gt;=AC67,AB38+1,"Exceeds Project Life")),"",IF('costs-benefits results'!$G$6&gt;=AC67,AB38+1,"Exceeds Project Life"))</f>
        <v>25</v>
      </c>
      <c r="AD38" s="41">
        <f>IF(ISERROR(IF('costs-benefits results'!$G$6&gt;=AD67,AC38+1,"Exceeds Project Life")),"",IF('costs-benefits results'!$G$6&gt;=AD67,AC38+1,"Exceeds Project Life"))</f>
        <v>26</v>
      </c>
      <c r="AE38" s="41">
        <f>IF(ISERROR(IF('costs-benefits results'!$G$6&gt;=AE67,AD38+1,"Exceeds Project Life")),"",IF('costs-benefits results'!$G$6&gt;=AE67,AD38+1,"Exceeds Project Life"))</f>
        <v>27</v>
      </c>
      <c r="AF38" s="41">
        <f>IF(ISERROR(IF('costs-benefits results'!$G$6&gt;=AF67,AE38+1,"Exceeds Project Life")),"",IF('costs-benefits results'!$G$6&gt;=AF67,AE38+1,"Exceeds Project Life"))</f>
        <v>28</v>
      </c>
      <c r="AG38" s="41">
        <f>IF(ISERROR(IF('costs-benefits results'!$G$6&gt;=AG67,AF38+1,"Exceeds Project Life")),"",IF('costs-benefits results'!$G$6&gt;=AG67,AF38+1,"Exceeds Project Life"))</f>
        <v>29</v>
      </c>
      <c r="AH38" s="41">
        <f>IF(ISERROR(IF('costs-benefits results'!$G$6&gt;=AH67,AG38+1,"Exceeds Project Life")),"",IF('costs-benefits results'!$G$6&gt;=AH67,AG38+1,"Exceeds Project Life"))</f>
        <v>30</v>
      </c>
      <c r="AI38"/>
    </row>
    <row r="39" spans="1:35" x14ac:dyDescent="0.2">
      <c r="A39" s="213" t="s">
        <v>97</v>
      </c>
      <c r="B39" s="214"/>
      <c r="C39" s="215"/>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row>
    <row r="40" spans="1:35" x14ac:dyDescent="0.2">
      <c r="A40" s="31" t="s">
        <v>214</v>
      </c>
      <c r="B40" s="31"/>
      <c r="C40" s="31"/>
      <c r="D40" s="143">
        <f>VLOOKUP(Variable!$B$4,'lifeCycle Costs calculation'!$B$81:$C$90,2,0)</f>
        <v>537950000</v>
      </c>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row>
    <row r="41" spans="1:35" ht="16.5" x14ac:dyDescent="0.3">
      <c r="A41" s="483" t="s">
        <v>85</v>
      </c>
      <c r="B41" s="484"/>
      <c r="C41" s="485"/>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row>
    <row r="42" spans="1:35" x14ac:dyDescent="0.2">
      <c r="A42" s="34" t="s">
        <v>208</v>
      </c>
      <c r="B42" s="35"/>
      <c r="C42" s="32"/>
      <c r="D42" s="98"/>
      <c r="E42" s="143">
        <f>INDEX('lifeCycle Costs calculation'!$D$81:$AG$90,MATCH(Variable!$B$4,'lifeCycle Costs calculation'!$B$81:$B$90,0),'lifeCycle Costs calculation'!D79)</f>
        <v>10265360</v>
      </c>
      <c r="F42" s="143">
        <f>INDEX('lifeCycle Costs calculation'!$D$81:$AG$90,MATCH(Variable!$B$4,'lifeCycle Costs calculation'!$B$81:$B$90,0),'lifeCycle Costs calculation'!E79)</f>
        <v>10265360</v>
      </c>
      <c r="G42" s="143">
        <f>INDEX('lifeCycle Costs calculation'!$D$81:$AG$90,MATCH(Variable!$B$4,'lifeCycle Costs calculation'!$B$81:$B$90,0),'lifeCycle Costs calculation'!F79)</f>
        <v>10265360</v>
      </c>
      <c r="H42" s="143">
        <f>INDEX('lifeCycle Costs calculation'!$D$81:$AG$90,MATCH(Variable!$B$4,'lifeCycle Costs calculation'!$B$81:$B$90,0),'lifeCycle Costs calculation'!G79)</f>
        <v>10265360</v>
      </c>
      <c r="I42" s="143">
        <f>INDEX('lifeCycle Costs calculation'!$D$81:$AG$90,MATCH(Variable!$B$4,'lifeCycle Costs calculation'!$B$81:$B$90,0),'lifeCycle Costs calculation'!H79)</f>
        <v>10265360</v>
      </c>
      <c r="J42" s="143">
        <f>INDEX('lifeCycle Costs calculation'!$D$81:$AG$90,MATCH(Variable!$B$4,'lifeCycle Costs calculation'!$B$81:$B$90,0),'lifeCycle Costs calculation'!I79)</f>
        <v>10265360</v>
      </c>
      <c r="K42" s="143">
        <f>INDEX('lifeCycle Costs calculation'!$D$81:$AG$90,MATCH(Variable!$B$4,'lifeCycle Costs calculation'!$B$81:$B$90,0),'lifeCycle Costs calculation'!J79)</f>
        <v>10265360</v>
      </c>
      <c r="L42" s="143">
        <f>INDEX('lifeCycle Costs calculation'!$D$81:$AG$90,MATCH(Variable!$B$4,'lifeCycle Costs calculation'!$B$81:$B$90,0),'lifeCycle Costs calculation'!K79)</f>
        <v>10265360</v>
      </c>
      <c r="M42" s="143">
        <f>INDEX('lifeCycle Costs calculation'!$D$81:$AG$90,MATCH(Variable!$B$4,'lifeCycle Costs calculation'!$B$81:$B$90,0),'lifeCycle Costs calculation'!L79)</f>
        <v>10265360</v>
      </c>
      <c r="N42" s="143">
        <f>INDEX('lifeCycle Costs calculation'!$D$81:$AG$90,MATCH(Variable!$B$4,'lifeCycle Costs calculation'!$B$81:$B$90,0),'lifeCycle Costs calculation'!M79)</f>
        <v>10265360</v>
      </c>
      <c r="O42" s="143">
        <f>INDEX('lifeCycle Costs calculation'!$D$81:$AG$90,MATCH(Variable!$B$4,'lifeCycle Costs calculation'!$B$81:$B$90,0),'lifeCycle Costs calculation'!N79)</f>
        <v>10265360</v>
      </c>
      <c r="P42" s="143">
        <f>INDEX('lifeCycle Costs calculation'!$D$81:$AG$90,MATCH(Variable!$B$4,'lifeCycle Costs calculation'!$B$81:$B$90,0),'lifeCycle Costs calculation'!O79)</f>
        <v>10265360</v>
      </c>
      <c r="Q42" s="143">
        <f>INDEX('lifeCycle Costs calculation'!$D$81:$AG$90,MATCH(Variable!$B$4,'lifeCycle Costs calculation'!$B$81:$B$90,0),'lifeCycle Costs calculation'!P79)</f>
        <v>10265360</v>
      </c>
      <c r="R42" s="143">
        <f>INDEX('lifeCycle Costs calculation'!$D$81:$AG$90,MATCH(Variable!$B$4,'lifeCycle Costs calculation'!$B$81:$B$90,0),'lifeCycle Costs calculation'!Q79)</f>
        <v>10265360</v>
      </c>
      <c r="S42" s="143">
        <f>INDEX('lifeCycle Costs calculation'!$D$81:$AG$90,MATCH(Variable!$B$4,'lifeCycle Costs calculation'!$B$81:$B$90,0),'lifeCycle Costs calculation'!R79)</f>
        <v>35465360</v>
      </c>
      <c r="T42" s="143">
        <f>INDEX('lifeCycle Costs calculation'!$D$81:$AG$90,MATCH(Variable!$B$4,'lifeCycle Costs calculation'!$B$81:$B$90,0),'lifeCycle Costs calculation'!S79)</f>
        <v>10265360</v>
      </c>
      <c r="U42" s="143">
        <f>INDEX('lifeCycle Costs calculation'!$D$81:$AG$90,MATCH(Variable!$B$4,'lifeCycle Costs calculation'!$B$81:$B$90,0),'lifeCycle Costs calculation'!T79)</f>
        <v>10265360</v>
      </c>
      <c r="V42" s="143">
        <f>INDEX('lifeCycle Costs calculation'!$D$81:$AG$90,MATCH(Variable!$B$4,'lifeCycle Costs calculation'!$B$81:$B$90,0),'lifeCycle Costs calculation'!U79)</f>
        <v>10265360</v>
      </c>
      <c r="W42" s="143">
        <f>INDEX('lifeCycle Costs calculation'!$D$81:$AG$90,MATCH(Variable!$B$4,'lifeCycle Costs calculation'!$B$81:$B$90,0),'lifeCycle Costs calculation'!V79)</f>
        <v>10265360</v>
      </c>
      <c r="X42" s="143">
        <f>INDEX('lifeCycle Costs calculation'!$D$81:$AG$90,MATCH(Variable!$B$4,'lifeCycle Costs calculation'!$B$81:$B$90,0),'lifeCycle Costs calculation'!W79)</f>
        <v>10265360</v>
      </c>
      <c r="Y42" s="143">
        <f>INDEX('lifeCycle Costs calculation'!$D$81:$AG$90,MATCH(Variable!$B$4,'lifeCycle Costs calculation'!$B$81:$B$90,0),'lifeCycle Costs calculation'!X79)</f>
        <v>10265360</v>
      </c>
      <c r="Z42" s="143">
        <f>INDEX('lifeCycle Costs calculation'!$D$81:$AG$90,MATCH(Variable!$B$4,'lifeCycle Costs calculation'!$B$81:$B$90,0),'lifeCycle Costs calculation'!Y79)</f>
        <v>10265360</v>
      </c>
      <c r="AA42" s="143">
        <f>INDEX('lifeCycle Costs calculation'!$D$81:$AG$90,MATCH(Variable!$B$4,'lifeCycle Costs calculation'!$B$81:$B$90,0),'lifeCycle Costs calculation'!Z79)</f>
        <v>10265360</v>
      </c>
      <c r="AB42" s="143">
        <f>INDEX('lifeCycle Costs calculation'!$D$81:$AG$90,MATCH(Variable!$B$4,'lifeCycle Costs calculation'!$B$81:$B$90,0),'lifeCycle Costs calculation'!AA79)</f>
        <v>10265360</v>
      </c>
      <c r="AC42" s="143">
        <f>INDEX('lifeCycle Costs calculation'!$D$81:$AG$90,MATCH(Variable!$B$4,'lifeCycle Costs calculation'!$B$81:$B$90,0),'lifeCycle Costs calculation'!AB79)</f>
        <v>10265360</v>
      </c>
      <c r="AD42" s="143">
        <f>INDEX('lifeCycle Costs calculation'!$D$81:$AG$90,MATCH(Variable!$B$4,'lifeCycle Costs calculation'!$B$81:$B$90,0),'lifeCycle Costs calculation'!AC79)</f>
        <v>10265360</v>
      </c>
      <c r="AE42" s="143">
        <f>INDEX('lifeCycle Costs calculation'!$D$81:$AG$90,MATCH(Variable!$B$4,'lifeCycle Costs calculation'!$B$81:$B$90,0),'lifeCycle Costs calculation'!AD79)</f>
        <v>10265360</v>
      </c>
      <c r="AF42" s="143">
        <f>INDEX('lifeCycle Costs calculation'!$D$81:$AG$90,MATCH(Variable!$B$4,'lifeCycle Costs calculation'!$B$81:$B$90,0),'lifeCycle Costs calculation'!AE79)</f>
        <v>10265360</v>
      </c>
      <c r="AG42" s="143">
        <f>INDEX('lifeCycle Costs calculation'!$D$81:$AG$90,MATCH(Variable!$B$4,'lifeCycle Costs calculation'!$B$81:$B$90,0),'lifeCycle Costs calculation'!AF79)</f>
        <v>10265360</v>
      </c>
      <c r="AH42" s="143">
        <f>INDEX('lifeCycle Costs calculation'!$D$81:$AG$90,MATCH(Variable!$B$4,'lifeCycle Costs calculation'!$B$81:$B$90,0),'lifeCycle Costs calculation'!AG79)</f>
        <v>10265360</v>
      </c>
    </row>
    <row r="43" spans="1:35" x14ac:dyDescent="0.2">
      <c r="A43" s="80" t="s">
        <v>152</v>
      </c>
      <c r="B43" s="128"/>
      <c r="C43" s="129"/>
      <c r="D43" s="98"/>
      <c r="E43" s="143">
        <f>INDEX('lifeCycle Costs calculation'!$D$95:$AG$104,MATCH(Variable!$B$4,'lifeCycle Costs calculation'!$B$95:$B$104,0),'lifeCycle Costs calculation'!D93)</f>
        <v>705316.01220127917</v>
      </c>
      <c r="F43" s="143">
        <f>INDEX('lifeCycle Costs calculation'!$D$95:$AG$104,MATCH(Variable!$B$4,'lifeCycle Costs calculation'!$B$95:$B$104,0),'lifeCycle Costs calculation'!E93)</f>
        <v>705316.01220127917</v>
      </c>
      <c r="G43" s="143">
        <f>INDEX('lifeCycle Costs calculation'!$D$95:$AG$104,MATCH(Variable!$B$4,'lifeCycle Costs calculation'!$B$95:$B$104,0),'lifeCycle Costs calculation'!F93)</f>
        <v>705316.01220127917</v>
      </c>
      <c r="H43" s="143">
        <f>INDEX('lifeCycle Costs calculation'!$D$95:$AG$104,MATCH(Variable!$B$4,'lifeCycle Costs calculation'!$B$95:$B$104,0),'lifeCycle Costs calculation'!G93)</f>
        <v>705316.01220127917</v>
      </c>
      <c r="I43" s="143">
        <f>INDEX('lifeCycle Costs calculation'!$D$95:$AG$104,MATCH(Variable!$B$4,'lifeCycle Costs calculation'!$B$95:$B$104,0),'lifeCycle Costs calculation'!H93)</f>
        <v>705316.01220127917</v>
      </c>
      <c r="J43" s="143">
        <f>INDEX('lifeCycle Costs calculation'!$D$95:$AG$104,MATCH(Variable!$B$4,'lifeCycle Costs calculation'!$B$95:$B$104,0),'lifeCycle Costs calculation'!I93)</f>
        <v>705316.01220127917</v>
      </c>
      <c r="K43" s="143">
        <f>INDEX('lifeCycle Costs calculation'!$D$95:$AG$104,MATCH(Variable!$B$4,'lifeCycle Costs calculation'!$B$95:$B$104,0),'lifeCycle Costs calculation'!J93)</f>
        <v>705316.01220127917</v>
      </c>
      <c r="L43" s="143">
        <f>INDEX('lifeCycle Costs calculation'!$D$95:$AG$104,MATCH(Variable!$B$4,'lifeCycle Costs calculation'!$B$95:$B$104,0),'lifeCycle Costs calculation'!K93)</f>
        <v>705316.01220127917</v>
      </c>
      <c r="M43" s="143">
        <f>INDEX('lifeCycle Costs calculation'!$D$95:$AG$104,MATCH(Variable!$B$4,'lifeCycle Costs calculation'!$B$95:$B$104,0),'lifeCycle Costs calculation'!L93)</f>
        <v>705316.01220127917</v>
      </c>
      <c r="N43" s="143">
        <f>INDEX('lifeCycle Costs calculation'!$D$95:$AG$104,MATCH(Variable!$B$4,'lifeCycle Costs calculation'!$B$95:$B$104,0),'lifeCycle Costs calculation'!M93)</f>
        <v>705316.01220127917</v>
      </c>
      <c r="O43" s="143">
        <f>INDEX('lifeCycle Costs calculation'!$D$95:$AG$104,MATCH(Variable!$B$4,'lifeCycle Costs calculation'!$B$95:$B$104,0),'lifeCycle Costs calculation'!N93)</f>
        <v>705316.01220127917</v>
      </c>
      <c r="P43" s="143">
        <f>INDEX('lifeCycle Costs calculation'!$D$95:$AG$104,MATCH(Variable!$B$4,'lifeCycle Costs calculation'!$B$95:$B$104,0),'lifeCycle Costs calculation'!O93)</f>
        <v>705316.01220127917</v>
      </c>
      <c r="Q43" s="143">
        <f>INDEX('lifeCycle Costs calculation'!$D$95:$AG$104,MATCH(Variable!$B$4,'lifeCycle Costs calculation'!$B$95:$B$104,0),'lifeCycle Costs calculation'!P93)</f>
        <v>705316.01220127917</v>
      </c>
      <c r="R43" s="143">
        <f>INDEX('lifeCycle Costs calculation'!$D$95:$AG$104,MATCH(Variable!$B$4,'lifeCycle Costs calculation'!$B$95:$B$104,0),'lifeCycle Costs calculation'!Q93)</f>
        <v>705316.01220127917</v>
      </c>
      <c r="S43" s="143">
        <f>INDEX('lifeCycle Costs calculation'!$D$95:$AG$104,MATCH(Variable!$B$4,'lifeCycle Costs calculation'!$B$95:$B$104,0),'lifeCycle Costs calculation'!R93)</f>
        <v>705316.01220127917</v>
      </c>
      <c r="T43" s="143">
        <f>INDEX('lifeCycle Costs calculation'!$D$95:$AG$104,MATCH(Variable!$B$4,'lifeCycle Costs calculation'!$B$95:$B$104,0),'lifeCycle Costs calculation'!S93)</f>
        <v>705316.01220127917</v>
      </c>
      <c r="U43" s="143">
        <f>INDEX('lifeCycle Costs calculation'!$D$95:$AG$104,MATCH(Variable!$B$4,'lifeCycle Costs calculation'!$B$95:$B$104,0),'lifeCycle Costs calculation'!T93)</f>
        <v>705316.01220127917</v>
      </c>
      <c r="V43" s="143">
        <f>INDEX('lifeCycle Costs calculation'!$D$95:$AG$104,MATCH(Variable!$B$4,'lifeCycle Costs calculation'!$B$95:$B$104,0),'lifeCycle Costs calculation'!U93)</f>
        <v>705316.01220127917</v>
      </c>
      <c r="W43" s="143">
        <f>INDEX('lifeCycle Costs calculation'!$D$95:$AG$104,MATCH(Variable!$B$4,'lifeCycle Costs calculation'!$B$95:$B$104,0),'lifeCycle Costs calculation'!V93)</f>
        <v>705316.01220127917</v>
      </c>
      <c r="X43" s="143">
        <f>INDEX('lifeCycle Costs calculation'!$D$95:$AG$104,MATCH(Variable!$B$4,'lifeCycle Costs calculation'!$B$95:$B$104,0),'lifeCycle Costs calculation'!W93)</f>
        <v>705316.01220127917</v>
      </c>
      <c r="Y43" s="143">
        <f>INDEX('lifeCycle Costs calculation'!$D$95:$AG$104,MATCH(Variable!$B$4,'lifeCycle Costs calculation'!$B$95:$B$104,0),'lifeCycle Costs calculation'!X93)</f>
        <v>705316.01220127917</v>
      </c>
      <c r="Z43" s="143">
        <f>INDEX('lifeCycle Costs calculation'!$D$95:$AG$104,MATCH(Variable!$B$4,'lifeCycle Costs calculation'!$B$95:$B$104,0),'lifeCycle Costs calculation'!Y93)</f>
        <v>705316.01220127917</v>
      </c>
      <c r="AA43" s="143">
        <f>INDEX('lifeCycle Costs calculation'!$D$95:$AG$104,MATCH(Variable!$B$4,'lifeCycle Costs calculation'!$B$95:$B$104,0),'lifeCycle Costs calculation'!Z93)</f>
        <v>705316.01220127917</v>
      </c>
      <c r="AB43" s="143">
        <f>INDEX('lifeCycle Costs calculation'!$D$95:$AG$104,MATCH(Variable!$B$4,'lifeCycle Costs calculation'!$B$95:$B$104,0),'lifeCycle Costs calculation'!AA93)</f>
        <v>705316.01220127917</v>
      </c>
      <c r="AC43" s="143">
        <f>INDEX('lifeCycle Costs calculation'!$D$95:$AG$104,MATCH(Variable!$B$4,'lifeCycle Costs calculation'!$B$95:$B$104,0),'lifeCycle Costs calculation'!AB93)</f>
        <v>705316.01220127917</v>
      </c>
      <c r="AD43" s="143">
        <f>INDEX('lifeCycle Costs calculation'!$D$95:$AG$104,MATCH(Variable!$B$4,'lifeCycle Costs calculation'!$B$95:$B$104,0),'lifeCycle Costs calculation'!AC93)</f>
        <v>705316.01220127917</v>
      </c>
      <c r="AE43" s="143">
        <f>INDEX('lifeCycle Costs calculation'!$D$95:$AG$104,MATCH(Variable!$B$4,'lifeCycle Costs calculation'!$B$95:$B$104,0),'lifeCycle Costs calculation'!AD93)</f>
        <v>705316.01220127917</v>
      </c>
      <c r="AF43" s="143">
        <f>INDEX('lifeCycle Costs calculation'!$D$95:$AG$104,MATCH(Variable!$B$4,'lifeCycle Costs calculation'!$B$95:$B$104,0),'lifeCycle Costs calculation'!AE93)</f>
        <v>705316.01220127917</v>
      </c>
      <c r="AG43" s="143">
        <f>INDEX('lifeCycle Costs calculation'!$D$95:$AG$104,MATCH(Variable!$B$4,'lifeCycle Costs calculation'!$B$95:$B$104,0),'lifeCycle Costs calculation'!AF93)</f>
        <v>705316.01220127917</v>
      </c>
      <c r="AH43" s="143">
        <f>INDEX('lifeCycle Costs calculation'!$D$95:$AG$104,MATCH(Variable!$B$4,'lifeCycle Costs calculation'!$B$95:$B$104,0),'lifeCycle Costs calculation'!AG93)</f>
        <v>705316.01220127917</v>
      </c>
    </row>
    <row r="44" spans="1:35" x14ac:dyDescent="0.2">
      <c r="A44" s="80" t="s">
        <v>245</v>
      </c>
      <c r="B44" s="128"/>
      <c r="C44" s="129"/>
      <c r="D44" s="98"/>
      <c r="E44" s="143">
        <f>IF(OR(Variable!B4=inputdata!B37,Variable!B4=inputdata!B38),0,IF(Variable!$E$3="Unrestricted Irrigation",HLOOKUP(Variable!$B$4,'Health impact calculation'!$C$6:$J$20,15,FALSE),IF(Variable!$E$3="restricted Irrigation",HLOOKUP(Variable!$B$4,'Health impact calculation'!$N$6:$U$20,15,FALSE),0)))*inputdata!$E$6</f>
        <v>649663.19999999995</v>
      </c>
      <c r="F44" s="143">
        <f>IF(E44=0,0,IF(Variable!$E$3="Unrestricted Irrigation",HLOOKUP(Variable!$B$4,'Health impact calculation'!$C$6:$J$20,15,FALSE),IF(Variable!$E$3="restricted Irrigation",HLOOKUP(Variable!$B$4,'Health impact calculation'!$N$6:$U$20,15,FALSE),0))*inputdata!$E$6*(1+inputdata!$E$4)^'lifeCycle Costs calculation'!F38)</f>
        <v>665085.71062396793</v>
      </c>
      <c r="G44" s="143">
        <f>IF(F44=0,0,IF(Variable!$E$3="Unrestricted Irrigation",HLOOKUP(Variable!$B$4,'Health impact calculation'!$C$6:$J$20,15,FALSE),IF(Variable!$E$3="restricted Irrigation",HLOOKUP(Variable!$B$4,'Health impact calculation'!$N$6:$U$20,15,FALSE),0))*inputdata!$E$6*(1+inputdata!$E$4)^'lifeCycle Costs calculation'!G38)</f>
        <v>672933.72200933087</v>
      </c>
      <c r="H44" s="143">
        <f>IF(G44=0,0,IF(Variable!$E$3="Unrestricted Irrigation",HLOOKUP(Variable!$B$4,'Health impact calculation'!$C$6:$J$20,15,FALSE),IF(Variable!$E$3="restricted Irrigation",HLOOKUP(Variable!$B$4,'Health impact calculation'!$N$6:$U$20,15,FALSE),0))*inputdata!$E$6*(1+inputdata!$E$4)^'lifeCycle Costs calculation'!H38)</f>
        <v>680874.33992904099</v>
      </c>
      <c r="I44" s="143">
        <f>IF(H44=0,0,IF(Variable!$E$3="Unrestricted Irrigation",HLOOKUP(Variable!$B$4,'Health impact calculation'!$C$6:$J$20,15,FALSE),IF(Variable!$E$3="restricted Irrigation",HLOOKUP(Variable!$B$4,'Health impact calculation'!$N$6:$U$20,15,FALSE),0))*inputdata!$E$6*(1+inputdata!$E$4)^'lifeCycle Costs calculation'!I38)</f>
        <v>688908.65714020352</v>
      </c>
      <c r="J44" s="143">
        <f>IF(I44=0,0,IF(Variable!$E$3="Unrestricted Irrigation",HLOOKUP(Variable!$B$4,'Health impact calculation'!$C$6:$J$20,15,FALSE),IF(Variable!$E$3="restricted Irrigation",HLOOKUP(Variable!$B$4,'Health impact calculation'!$N$6:$U$20,15,FALSE),0))*inputdata!$E$6*(1+inputdata!$E$4)^'lifeCycle Costs calculation'!J38)</f>
        <v>697037.77929445799</v>
      </c>
      <c r="K44" s="143">
        <f>IF(J44=0,0,IF(Variable!$E$3="Unrestricted Irrigation",HLOOKUP(Variable!$B$4,'Health impact calculation'!$C$6:$J$20,15,FALSE),IF(Variable!$E$3="restricted Irrigation",HLOOKUP(Variable!$B$4,'Health impact calculation'!$N$6:$U$20,15,FALSE),0))*inputdata!$E$6*(1+inputdata!$E$4)^'lifeCycle Costs calculation'!K38)</f>
        <v>705262.82509013277</v>
      </c>
      <c r="L44" s="143">
        <f>IF(K44=0,0,IF(Variable!$E$3="Unrestricted Irrigation",HLOOKUP(Variable!$B$4,'Health impact calculation'!$C$6:$J$20,15,FALSE),IF(Variable!$E$3="restricted Irrigation",HLOOKUP(Variable!$B$4,'Health impact calculation'!$N$6:$U$20,15,FALSE),0))*inputdata!$E$6*(1+inputdata!$E$4)^'lifeCycle Costs calculation'!L38)</f>
        <v>713584.92642619635</v>
      </c>
      <c r="M44" s="143">
        <f>IF(L44=0,0,IF(Variable!$E$3="Unrestricted Irrigation",HLOOKUP(Variable!$B$4,'Health impact calculation'!$C$6:$J$20,15,FALSE),IF(Variable!$E$3="restricted Irrigation",HLOOKUP(Variable!$B$4,'Health impact calculation'!$N$6:$U$20,15,FALSE),0))*inputdata!$E$6*(1+inputdata!$E$4)^'lifeCycle Costs calculation'!M38)</f>
        <v>722005.22855802544</v>
      </c>
      <c r="N44" s="143">
        <f>IF(M44=0,0,IF(Variable!$E$3="Unrestricted Irrigation",HLOOKUP(Variable!$B$4,'Health impact calculation'!$C$6:$J$20,15,FALSE),IF(Variable!$E$3="restricted Irrigation",HLOOKUP(Variable!$B$4,'Health impact calculation'!$N$6:$U$20,15,FALSE),0))*inputdata!$E$6*(1+inputdata!$E$4)^'lifeCycle Costs calculation'!N38)</f>
        <v>730524.8902550101</v>
      </c>
      <c r="O44" s="143">
        <f>IF(N44=0,0,IF(Variable!$E$3="Unrestricted Irrigation",HLOOKUP(Variable!$B$4,'Health impact calculation'!$C$6:$J$20,15,FALSE),IF(Variable!$E$3="restricted Irrigation",HLOOKUP(Variable!$B$4,'Health impact calculation'!$N$6:$U$20,15,FALSE),0))*inputdata!$E$6*(1+inputdata!$E$4)^'lifeCycle Costs calculation'!O38)</f>
        <v>739145.08396001928</v>
      </c>
      <c r="P44" s="143">
        <f>IF(O44=0,0,IF(Variable!$E$3="Unrestricted Irrigation",HLOOKUP(Variable!$B$4,'Health impact calculation'!$C$6:$J$20,15,FALSE),IF(Variable!$E$3="restricted Irrigation",HLOOKUP(Variable!$B$4,'Health impact calculation'!$N$6:$U$20,15,FALSE),0))*inputdata!$E$6*(1+inputdata!$E$4)^'lifeCycle Costs calculation'!P38)</f>
        <v>747866.99595074751</v>
      </c>
      <c r="Q44" s="143">
        <f>IF(P44=0,0,IF(Variable!$E$3="Unrestricted Irrigation",HLOOKUP(Variable!$B$4,'Health impact calculation'!$C$6:$J$20,15,FALSE),IF(Variable!$E$3="restricted Irrigation",HLOOKUP(Variable!$B$4,'Health impact calculation'!$N$6:$U$20,15,FALSE),0))*inputdata!$E$6*(1+inputdata!$E$4)^'lifeCycle Costs calculation'!Q38)</f>
        <v>756691.82650296623</v>
      </c>
      <c r="R44" s="143">
        <f>IF(Q44=0,0,IF(Variable!$E$3="Unrestricted Irrigation",HLOOKUP(Variable!$B$4,'Health impact calculation'!$C$6:$J$20,15,FALSE),IF(Variable!$E$3="restricted Irrigation",HLOOKUP(Variable!$B$4,'Health impact calculation'!$N$6:$U$20,15,FALSE),0))*inputdata!$E$6*(1+inputdata!$E$4)^'lifeCycle Costs calculation'!R38)</f>
        <v>765620.79005570139</v>
      </c>
      <c r="S44" s="143">
        <f>IF(R44=0,0,IF(Variable!$E$3="Unrestricted Irrigation",HLOOKUP(Variable!$B$4,'Health impact calculation'!$C$6:$J$20,15,FALSE),IF(Variable!$E$3="restricted Irrigation",HLOOKUP(Variable!$B$4,'Health impact calculation'!$N$6:$U$20,15,FALSE),0))*inputdata!$E$6*(1+inputdata!$E$4)^'lifeCycle Costs calculation'!S38)</f>
        <v>774655.11537835875</v>
      </c>
      <c r="T44" s="143">
        <f>IF(S44=0,0,IF(Variable!$E$3="Unrestricted Irrigation",HLOOKUP(Variable!$B$4,'Health impact calculation'!$C$6:$J$20,15,FALSE),IF(Variable!$E$3="restricted Irrigation",HLOOKUP(Variable!$B$4,'Health impact calculation'!$N$6:$U$20,15,FALSE),0))*inputdata!$E$6*(1+inputdata!$E$4)^'lifeCycle Costs calculation'!T38)</f>
        <v>783796.04573982337</v>
      </c>
      <c r="U44" s="143">
        <f>IF(T44=0,0,IF(Variable!$E$3="Unrestricted Irrigation",HLOOKUP(Variable!$B$4,'Health impact calculation'!$C$6:$J$20,15,FALSE),IF(Variable!$E$3="restricted Irrigation",HLOOKUP(Variable!$B$4,'Health impact calculation'!$N$6:$U$20,15,FALSE),0))*inputdata!$E$6*(1+inputdata!$E$4)^'lifeCycle Costs calculation'!U38)</f>
        <v>793044.83907955326</v>
      </c>
      <c r="V44" s="143">
        <f>IF(U44=0,0,IF(Variable!$E$3="Unrestricted Irrigation",HLOOKUP(Variable!$B$4,'Health impact calculation'!$C$6:$J$20,15,FALSE),IF(Variable!$E$3="restricted Irrigation",HLOOKUP(Variable!$B$4,'Health impact calculation'!$N$6:$U$20,15,FALSE),0))*inputdata!$E$6*(1+inputdata!$E$4)^'lifeCycle Costs calculation'!V38)</f>
        <v>802402.7681806921</v>
      </c>
      <c r="W44" s="143">
        <f>IF(V44=0,0,IF(Variable!$E$3="Unrestricted Irrigation",HLOOKUP(Variable!$B$4,'Health impact calculation'!$C$6:$J$20,15,FALSE),IF(Variable!$E$3="restricted Irrigation",HLOOKUP(Variable!$B$4,'Health impact calculation'!$N$6:$U$20,15,FALSE),0))*inputdata!$E$6*(1+inputdata!$E$4)^'lifeCycle Costs calculation'!W38)</f>
        <v>811871.12084522413</v>
      </c>
      <c r="X44" s="143">
        <f>IF(W44=0,0,IF(Variable!$E$3="Unrestricted Irrigation",HLOOKUP(Variable!$B$4,'Health impact calculation'!$C$6:$J$20,15,FALSE),IF(Variable!$E$3="restricted Irrigation",HLOOKUP(Variable!$B$4,'Health impact calculation'!$N$6:$U$20,15,FALSE),0))*inputdata!$E$6*(1+inputdata!$E$4)^'lifeCycle Costs calculation'!X38)</f>
        <v>821451.20007119782</v>
      </c>
      <c r="Y44" s="143">
        <f>IF(X44=0,0,IF(Variable!$E$3="Unrestricted Irrigation",HLOOKUP(Variable!$B$4,'Health impact calculation'!$C$6:$J$20,15,FALSE),IF(Variable!$E$3="restricted Irrigation",HLOOKUP(Variable!$B$4,'Health impact calculation'!$N$6:$U$20,15,FALSE),0))*inputdata!$E$6*(1+inputdata!$E$4)^'lifeCycle Costs calculation'!Y38)</f>
        <v>831144.32423203799</v>
      </c>
      <c r="Z44" s="143">
        <f>IF(Y44=0,0,IF(Variable!$E$3="Unrestricted Irrigation",HLOOKUP(Variable!$B$4,'Health impact calculation'!$C$6:$J$20,15,FALSE),IF(Variable!$E$3="restricted Irrigation",HLOOKUP(Variable!$B$4,'Health impact calculation'!$N$6:$U$20,15,FALSE),0))*inputdata!$E$6*(1+inputdata!$E$4)^'lifeCycle Costs calculation'!Z38)</f>
        <v>840951.82725797605</v>
      </c>
      <c r="AA44" s="143">
        <f>IF(Z44=0,0,IF(Variable!$E$3="Unrestricted Irrigation",HLOOKUP(Variable!$B$4,'Health impact calculation'!$C$6:$J$20,15,FALSE),IF(Variable!$E$3="restricted Irrigation",HLOOKUP(Variable!$B$4,'Health impact calculation'!$N$6:$U$20,15,FALSE),0))*inputdata!$E$6*(1+inputdata!$E$4)^'lifeCycle Costs calculation'!AA38)</f>
        <v>850875.05881962029</v>
      </c>
      <c r="AB44" s="143">
        <f>IF(AA44=0,0,IF(Variable!$E$3="Unrestricted Irrigation",HLOOKUP(Variable!$B$4,'Health impact calculation'!$C$6:$J$20,15,FALSE),IF(Variable!$E$3="restricted Irrigation",HLOOKUP(Variable!$B$4,'Health impact calculation'!$N$6:$U$20,15,FALSE),0))*inputdata!$E$6*(1+inputdata!$E$4)^'lifeCycle Costs calculation'!AB38)</f>
        <v>860915.38451369188</v>
      </c>
      <c r="AC44" s="143">
        <f>IF(AB44=0,0,IF(Variable!$E$3="Unrestricted Irrigation",HLOOKUP(Variable!$B$4,'Health impact calculation'!$C$6:$J$20,15,FALSE),IF(Variable!$E$3="restricted Irrigation",HLOOKUP(Variable!$B$4,'Health impact calculation'!$N$6:$U$20,15,FALSE),0))*inputdata!$E$6*(1+inputdata!$E$4)^'lifeCycle Costs calculation'!AC38)</f>
        <v>871074.18605095334</v>
      </c>
      <c r="AD44" s="143">
        <f>IF(AC44=0,0,IF(Variable!$E$3="Unrestricted Irrigation",HLOOKUP(Variable!$B$4,'Health impact calculation'!$C$6:$J$20,15,FALSE),IF(Variable!$E$3="restricted Irrigation",HLOOKUP(Variable!$B$4,'Health impact calculation'!$N$6:$U$20,15,FALSE),0))*inputdata!$E$6*(1+inputdata!$E$4)^'lifeCycle Costs calculation'!AD38)</f>
        <v>881352.86144635465</v>
      </c>
      <c r="AE44" s="143">
        <f>IF(AD44=0,0,IF(Variable!$E$3="Unrestricted Irrigation",HLOOKUP(Variable!$B$4,'Health impact calculation'!$C$6:$J$20,15,FALSE),IF(Variable!$E$3="restricted Irrigation",HLOOKUP(Variable!$B$4,'Health impact calculation'!$N$6:$U$20,15,FALSE),0))*inputdata!$E$6*(1+inputdata!$E$4)^'lifeCycle Costs calculation'!AE38)</f>
        <v>891752.82521142182</v>
      </c>
      <c r="AF44" s="143">
        <f>IF(AE44=0,0,IF(Variable!$E$3="Unrestricted Irrigation",HLOOKUP(Variable!$B$4,'Health impact calculation'!$C$6:$J$20,15,FALSE),IF(Variable!$E$3="restricted Irrigation",HLOOKUP(Variable!$B$4,'Health impact calculation'!$N$6:$U$20,15,FALSE),0))*inputdata!$E$6*(1+inputdata!$E$4)^'lifeCycle Costs calculation'!AF38)</f>
        <v>902275.50854891667</v>
      </c>
      <c r="AG44" s="143">
        <f>IF(AF44=0,0,IF(Variable!$E$3="Unrestricted Irrigation",HLOOKUP(Variable!$B$4,'Health impact calculation'!$C$6:$J$20,15,FALSE),IF(Variable!$E$3="restricted Irrigation",HLOOKUP(Variable!$B$4,'Health impact calculation'!$N$6:$U$20,15,FALSE),0))*inputdata!$E$6*(1+inputdata!$E$4)^'lifeCycle Costs calculation'!AG38)</f>
        <v>912922.35954979353</v>
      </c>
      <c r="AH44" s="143">
        <f>IF(AG44=0,0,IF(Variable!$E$3="Unrestricted Irrigation",HLOOKUP(Variable!$B$4,'Health impact calculation'!$C$6:$J$20,15,FALSE),IF(Variable!$E$3="restricted Irrigation",HLOOKUP(Variable!$B$4,'Health impact calculation'!$N$6:$U$20,15,FALSE),0))*inputdata!$E$6*(1+inputdata!$E$4)^'lifeCycle Costs calculation'!AH38)</f>
        <v>923694.84339248133</v>
      </c>
    </row>
    <row r="45" spans="1:35" x14ac:dyDescent="0.2">
      <c r="A45" s="43" t="s">
        <v>95</v>
      </c>
      <c r="B45" s="36"/>
      <c r="C45" s="33"/>
      <c r="D45" s="99"/>
      <c r="E45" s="238">
        <f>SUM(E42:E44)</f>
        <v>11620339.212201279</v>
      </c>
      <c r="F45" s="238">
        <f t="shared" ref="F45:AH45" si="0">SUM(F42:F44)</f>
        <v>11635761.722825248</v>
      </c>
      <c r="G45" s="238">
        <f t="shared" si="0"/>
        <v>11643609.73421061</v>
      </c>
      <c r="H45" s="238">
        <f t="shared" si="0"/>
        <v>11651550.35213032</v>
      </c>
      <c r="I45" s="238">
        <f t="shared" si="0"/>
        <v>11659584.669341482</v>
      </c>
      <c r="J45" s="238">
        <f t="shared" si="0"/>
        <v>11667713.791495737</v>
      </c>
      <c r="K45" s="238">
        <f t="shared" si="0"/>
        <v>11675938.837291412</v>
      </c>
      <c r="L45" s="238">
        <f t="shared" si="0"/>
        <v>11684260.938627476</v>
      </c>
      <c r="M45" s="238">
        <f t="shared" si="0"/>
        <v>11692681.240759306</v>
      </c>
      <c r="N45" s="238">
        <f t="shared" si="0"/>
        <v>11701200.902456289</v>
      </c>
      <c r="O45" s="238">
        <f t="shared" si="0"/>
        <v>11709821.096161298</v>
      </c>
      <c r="P45" s="238">
        <f t="shared" si="0"/>
        <v>11718543.008152027</v>
      </c>
      <c r="Q45" s="238">
        <f t="shared" si="0"/>
        <v>11727367.838704245</v>
      </c>
      <c r="R45" s="238">
        <f t="shared" si="0"/>
        <v>11736296.802256981</v>
      </c>
      <c r="S45" s="238">
        <f t="shared" si="0"/>
        <v>36945331.127579637</v>
      </c>
      <c r="T45" s="238">
        <f t="shared" si="0"/>
        <v>11754472.057941103</v>
      </c>
      <c r="U45" s="238">
        <f t="shared" si="0"/>
        <v>11763720.851280833</v>
      </c>
      <c r="V45" s="238">
        <f t="shared" si="0"/>
        <v>11773078.780381972</v>
      </c>
      <c r="W45" s="238">
        <f t="shared" si="0"/>
        <v>11782547.133046504</v>
      </c>
      <c r="X45" s="238">
        <f t="shared" si="0"/>
        <v>11792127.212272476</v>
      </c>
      <c r="Y45" s="238">
        <f t="shared" si="0"/>
        <v>11801820.336433318</v>
      </c>
      <c r="Z45" s="238">
        <f t="shared" si="0"/>
        <v>11811627.839459255</v>
      </c>
      <c r="AA45" s="238">
        <f t="shared" si="0"/>
        <v>11821551.071020899</v>
      </c>
      <c r="AB45" s="238">
        <f t="shared" si="0"/>
        <v>11831591.39671497</v>
      </c>
      <c r="AC45" s="238">
        <f t="shared" si="0"/>
        <v>11841750.198252233</v>
      </c>
      <c r="AD45" s="238">
        <f t="shared" si="0"/>
        <v>11852028.873647634</v>
      </c>
      <c r="AE45" s="238">
        <f t="shared" si="0"/>
        <v>11862428.837412702</v>
      </c>
      <c r="AF45" s="238">
        <f t="shared" si="0"/>
        <v>11872951.520750197</v>
      </c>
      <c r="AG45" s="238">
        <f t="shared" si="0"/>
        <v>11883598.371751074</v>
      </c>
      <c r="AH45" s="238">
        <f t="shared" si="0"/>
        <v>11894370.855593761</v>
      </c>
    </row>
    <row r="46" spans="1:35" ht="16.5" x14ac:dyDescent="0.3">
      <c r="A46" s="483" t="s">
        <v>86</v>
      </c>
      <c r="B46" s="484"/>
      <c r="C46" s="485"/>
      <c r="D46" s="100"/>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row>
    <row r="47" spans="1:35" x14ac:dyDescent="0.2">
      <c r="A47" s="37" t="s">
        <v>87</v>
      </c>
      <c r="B47" s="38"/>
      <c r="C47" s="39"/>
      <c r="D47" s="101"/>
      <c r="E47" s="143">
        <f>INDEX('lifeCycle Costs calculation'!$D$108:$AG$117,MATCH(Variable!$B$4,'lifeCycle Costs calculation'!$B$108:$B$117,0),'lifeCycle Costs calculation'!D106)</f>
        <v>78889098.062082857</v>
      </c>
      <c r="F47" s="143">
        <f>INDEX('lifeCycle Costs calculation'!$D$108:$AG$117,MATCH(Variable!$B$4,'lifeCycle Costs calculation'!$B$108:$B$117,0),'lifeCycle Costs calculation'!E106)</f>
        <v>78889098.062082857</v>
      </c>
      <c r="G47" s="143">
        <f>INDEX('lifeCycle Costs calculation'!$D$108:$AG$117,MATCH(Variable!$B$4,'lifeCycle Costs calculation'!$B$108:$B$117,0),'lifeCycle Costs calculation'!F106)</f>
        <v>78889098.062082857</v>
      </c>
      <c r="H47" s="143">
        <f>INDEX('lifeCycle Costs calculation'!$D$108:$AG$117,MATCH(Variable!$B$4,'lifeCycle Costs calculation'!$B$108:$B$117,0),'lifeCycle Costs calculation'!G106)</f>
        <v>78889098.062082857</v>
      </c>
      <c r="I47" s="143">
        <f>INDEX('lifeCycle Costs calculation'!$D$108:$AG$117,MATCH(Variable!$B$4,'lifeCycle Costs calculation'!$B$108:$B$117,0),'lifeCycle Costs calculation'!H106)</f>
        <v>78889098.062082857</v>
      </c>
      <c r="J47" s="143">
        <f>INDEX('lifeCycle Costs calculation'!$D$108:$AG$117,MATCH(Variable!$B$4,'lifeCycle Costs calculation'!$B$108:$B$117,0),'lifeCycle Costs calculation'!I106)</f>
        <v>78889098.062082857</v>
      </c>
      <c r="K47" s="143">
        <f>INDEX('lifeCycle Costs calculation'!$D$108:$AG$117,MATCH(Variable!$B$4,'lifeCycle Costs calculation'!$B$108:$B$117,0),'lifeCycle Costs calculation'!J106)</f>
        <v>78889098.062082857</v>
      </c>
      <c r="L47" s="143">
        <f>INDEX('lifeCycle Costs calculation'!$D$108:$AG$117,MATCH(Variable!$B$4,'lifeCycle Costs calculation'!$B$108:$B$117,0),'lifeCycle Costs calculation'!K106)</f>
        <v>78889098.062082857</v>
      </c>
      <c r="M47" s="143">
        <f>INDEX('lifeCycle Costs calculation'!$D$108:$AG$117,MATCH(Variable!$B$4,'lifeCycle Costs calculation'!$B$108:$B$117,0),'lifeCycle Costs calculation'!L106)</f>
        <v>78889098.062082857</v>
      </c>
      <c r="N47" s="143">
        <f>INDEX('lifeCycle Costs calculation'!$D$108:$AG$117,MATCH(Variable!$B$4,'lifeCycle Costs calculation'!$B$108:$B$117,0),'lifeCycle Costs calculation'!M106)</f>
        <v>78889098.062082857</v>
      </c>
      <c r="O47" s="143">
        <f>INDEX('lifeCycle Costs calculation'!$D$108:$AG$117,MATCH(Variable!$B$4,'lifeCycle Costs calculation'!$B$108:$B$117,0),'lifeCycle Costs calculation'!N106)</f>
        <v>78889098.062082857</v>
      </c>
      <c r="P47" s="143">
        <f>INDEX('lifeCycle Costs calculation'!$D$108:$AG$117,MATCH(Variable!$B$4,'lifeCycle Costs calculation'!$B$108:$B$117,0),'lifeCycle Costs calculation'!O106)</f>
        <v>78889098.062082857</v>
      </c>
      <c r="Q47" s="143">
        <f>INDEX('lifeCycle Costs calculation'!$D$108:$AG$117,MATCH(Variable!$B$4,'lifeCycle Costs calculation'!$B$108:$B$117,0),'lifeCycle Costs calculation'!P106)</f>
        <v>78889098.062082857</v>
      </c>
      <c r="R47" s="143">
        <f>INDEX('lifeCycle Costs calculation'!$D$108:$AG$117,MATCH(Variable!$B$4,'lifeCycle Costs calculation'!$B$108:$B$117,0),'lifeCycle Costs calculation'!Q106)</f>
        <v>78889098.062082857</v>
      </c>
      <c r="S47" s="143">
        <f>INDEX('lifeCycle Costs calculation'!$D$108:$AG$117,MATCH(Variable!$B$4,'lifeCycle Costs calculation'!$B$108:$B$117,0),'lifeCycle Costs calculation'!R106)</f>
        <v>78889098.062082857</v>
      </c>
      <c r="T47" s="143">
        <f>INDEX('lifeCycle Costs calculation'!$D$108:$AG$117,MATCH(Variable!$B$4,'lifeCycle Costs calculation'!$B$108:$B$117,0),'lifeCycle Costs calculation'!S106)</f>
        <v>78889098.062082857</v>
      </c>
      <c r="U47" s="143">
        <f>INDEX('lifeCycle Costs calculation'!$D$108:$AG$117,MATCH(Variable!$B$4,'lifeCycle Costs calculation'!$B$108:$B$117,0),'lifeCycle Costs calculation'!T106)</f>
        <v>78889098.062082857</v>
      </c>
      <c r="V47" s="143">
        <f>INDEX('lifeCycle Costs calculation'!$D$108:$AG$117,MATCH(Variable!$B$4,'lifeCycle Costs calculation'!$B$108:$B$117,0),'lifeCycle Costs calculation'!U106)</f>
        <v>78889098.062082857</v>
      </c>
      <c r="W47" s="143">
        <f>INDEX('lifeCycle Costs calculation'!$D$108:$AG$117,MATCH(Variable!$B$4,'lifeCycle Costs calculation'!$B$108:$B$117,0),'lifeCycle Costs calculation'!V106)</f>
        <v>78889098.062082857</v>
      </c>
      <c r="X47" s="143">
        <f>INDEX('lifeCycle Costs calculation'!$D$108:$AG$117,MATCH(Variable!$B$4,'lifeCycle Costs calculation'!$B$108:$B$117,0),'lifeCycle Costs calculation'!W106)</f>
        <v>78889098.062082857</v>
      </c>
      <c r="Y47" s="143">
        <f>INDEX('lifeCycle Costs calculation'!$D$108:$AG$117,MATCH(Variable!$B$4,'lifeCycle Costs calculation'!$B$108:$B$117,0),'lifeCycle Costs calculation'!X106)</f>
        <v>78889098.062082857</v>
      </c>
      <c r="Z47" s="143">
        <f>INDEX('lifeCycle Costs calculation'!$D$108:$AG$117,MATCH(Variable!$B$4,'lifeCycle Costs calculation'!$B$108:$B$117,0),'lifeCycle Costs calculation'!Y106)</f>
        <v>78889098.062082857</v>
      </c>
      <c r="AA47" s="143">
        <f>INDEX('lifeCycle Costs calculation'!$D$108:$AG$117,MATCH(Variable!$B$4,'lifeCycle Costs calculation'!$B$108:$B$117,0),'lifeCycle Costs calculation'!Z106)</f>
        <v>78889098.062082857</v>
      </c>
      <c r="AB47" s="143">
        <f>INDEX('lifeCycle Costs calculation'!$D$108:$AG$117,MATCH(Variable!$B$4,'lifeCycle Costs calculation'!$B$108:$B$117,0),'lifeCycle Costs calculation'!AA106)</f>
        <v>78889098.062082857</v>
      </c>
      <c r="AC47" s="143">
        <f>INDEX('lifeCycle Costs calculation'!$D$108:$AG$117,MATCH(Variable!$B$4,'lifeCycle Costs calculation'!$B$108:$B$117,0),'lifeCycle Costs calculation'!AB106)</f>
        <v>78889098.062082857</v>
      </c>
      <c r="AD47" s="143">
        <f>INDEX('lifeCycle Costs calculation'!$D$108:$AG$117,MATCH(Variable!$B$4,'lifeCycle Costs calculation'!$B$108:$B$117,0),'lifeCycle Costs calculation'!AC106)</f>
        <v>78889098.062082857</v>
      </c>
      <c r="AE47" s="143">
        <f>INDEX('lifeCycle Costs calculation'!$D$108:$AG$117,MATCH(Variable!$B$4,'lifeCycle Costs calculation'!$B$108:$B$117,0),'lifeCycle Costs calculation'!AD106)</f>
        <v>78889098.062082857</v>
      </c>
      <c r="AF47" s="143">
        <f>INDEX('lifeCycle Costs calculation'!$D$108:$AG$117,MATCH(Variable!$B$4,'lifeCycle Costs calculation'!$B$108:$B$117,0),'lifeCycle Costs calculation'!AE106)</f>
        <v>78889098.062082857</v>
      </c>
      <c r="AG47" s="143">
        <f>INDEX('lifeCycle Costs calculation'!$D$108:$AG$117,MATCH(Variable!$B$4,'lifeCycle Costs calculation'!$B$108:$B$117,0),'lifeCycle Costs calculation'!AF106)</f>
        <v>78889098.062082857</v>
      </c>
      <c r="AH47" s="143">
        <f>INDEX('lifeCycle Costs calculation'!$D$108:$AG$117,MATCH(Variable!$B$4,'lifeCycle Costs calculation'!$B$108:$B$117,0),'lifeCycle Costs calculation'!AG106)</f>
        <v>78889098.062082857</v>
      </c>
    </row>
    <row r="48" spans="1:35" x14ac:dyDescent="0.2">
      <c r="A48" s="37" t="s">
        <v>204</v>
      </c>
      <c r="B48" s="38"/>
      <c r="C48" s="39"/>
      <c r="D48" s="101"/>
      <c r="E48" s="143">
        <f>IF(OR(Variable!$B$4='lifeCycle Costs calculation'!$B$81,Variable!$B$4='lifeCycle Costs calculation'!$B$82),0,'inputdata(costs-benefits) '!$B$71)</f>
        <v>9417000</v>
      </c>
      <c r="F48" s="143">
        <f>IF(OR(Variable!$B$4='lifeCycle Costs calculation'!$B$81,Variable!$B$4='lifeCycle Costs calculation'!$B$82),0,'inputdata(costs-benefits) '!$B$71)</f>
        <v>9417000</v>
      </c>
      <c r="G48" s="143">
        <f>IF(OR(Variable!$B$4='lifeCycle Costs calculation'!$B$81,Variable!$B$4='lifeCycle Costs calculation'!$B$82),0,'inputdata(costs-benefits) '!$B$71)</f>
        <v>9417000</v>
      </c>
      <c r="H48" s="143">
        <f>IF(OR(Variable!$B$4='lifeCycle Costs calculation'!$B$81,Variable!$B$4='lifeCycle Costs calculation'!$B$82),0,'inputdata(costs-benefits) '!$B$71)</f>
        <v>9417000</v>
      </c>
      <c r="I48" s="143">
        <f>IF(OR(Variable!$B$4='lifeCycle Costs calculation'!$B$81,Variable!$B$4='lifeCycle Costs calculation'!$B$82),0,'inputdata(costs-benefits) '!$B$71)</f>
        <v>9417000</v>
      </c>
      <c r="J48" s="143">
        <f>IF(OR(Variable!$B$4='lifeCycle Costs calculation'!$B$81,Variable!$B$4='lifeCycle Costs calculation'!$B$82),0,'inputdata(costs-benefits) '!$B$71)</f>
        <v>9417000</v>
      </c>
      <c r="K48" s="143">
        <f>IF(OR(Variable!$B$4='lifeCycle Costs calculation'!$B$81,Variable!$B$4='lifeCycle Costs calculation'!$B$82),0,'inputdata(costs-benefits) '!$B$71)</f>
        <v>9417000</v>
      </c>
      <c r="L48" s="143">
        <f>IF(OR(Variable!$B$4='lifeCycle Costs calculation'!$B$81,Variable!$B$4='lifeCycle Costs calculation'!$B$82),0,'inputdata(costs-benefits) '!$B$71)</f>
        <v>9417000</v>
      </c>
      <c r="M48" s="143">
        <f>IF(OR(Variable!$B$4='lifeCycle Costs calculation'!$B$81,Variable!$B$4='lifeCycle Costs calculation'!$B$82),0,'inputdata(costs-benefits) '!$B$71)</f>
        <v>9417000</v>
      </c>
      <c r="N48" s="143">
        <f>IF(OR(Variable!$B$4='lifeCycle Costs calculation'!$B$81,Variable!$B$4='lifeCycle Costs calculation'!$B$82),0,'inputdata(costs-benefits) '!$B$71)</f>
        <v>9417000</v>
      </c>
      <c r="O48" s="143">
        <f>IF(OR(Variable!$B$4='lifeCycle Costs calculation'!$B$81,Variable!$B$4='lifeCycle Costs calculation'!$B$82),0,'inputdata(costs-benefits) '!$B$71)</f>
        <v>9417000</v>
      </c>
      <c r="P48" s="143">
        <f>IF(OR(Variable!$B$4='lifeCycle Costs calculation'!$B$81,Variable!$B$4='lifeCycle Costs calculation'!$B$82),0,'inputdata(costs-benefits) '!$B$71)</f>
        <v>9417000</v>
      </c>
      <c r="Q48" s="143">
        <f>IF(OR(Variable!$B$4='lifeCycle Costs calculation'!$B$81,Variable!$B$4='lifeCycle Costs calculation'!$B$82),0,'inputdata(costs-benefits) '!$B$71)</f>
        <v>9417000</v>
      </c>
      <c r="R48" s="143">
        <f>IF(OR(Variable!$B$4='lifeCycle Costs calculation'!$B$81,Variable!$B$4='lifeCycle Costs calculation'!$B$82),0,'inputdata(costs-benefits) '!$B$71)</f>
        <v>9417000</v>
      </c>
      <c r="S48" s="143">
        <f>IF(OR(Variable!$B$4='lifeCycle Costs calculation'!$B$81,Variable!$B$4='lifeCycle Costs calculation'!$B$82),0,'inputdata(costs-benefits) '!$B$71)</f>
        <v>9417000</v>
      </c>
      <c r="T48" s="143">
        <f>IF(OR(Variable!$B$4='lifeCycle Costs calculation'!$B$81,Variable!$B$4='lifeCycle Costs calculation'!$B$82),0,'inputdata(costs-benefits) '!$B$71)</f>
        <v>9417000</v>
      </c>
      <c r="U48" s="143">
        <f>IF(OR(Variable!$B$4='lifeCycle Costs calculation'!$B$81,Variable!$B$4='lifeCycle Costs calculation'!$B$82),0,'inputdata(costs-benefits) '!$B$71)</f>
        <v>9417000</v>
      </c>
      <c r="V48" s="143">
        <f>IF(OR(Variable!$B$4='lifeCycle Costs calculation'!$B$81,Variable!$B$4='lifeCycle Costs calculation'!$B$82),0,'inputdata(costs-benefits) '!$B$71)</f>
        <v>9417000</v>
      </c>
      <c r="W48" s="143">
        <f>IF(OR(Variable!$B$4='lifeCycle Costs calculation'!$B$81,Variable!$B$4='lifeCycle Costs calculation'!$B$82),0,'inputdata(costs-benefits) '!$B$71)</f>
        <v>9417000</v>
      </c>
      <c r="X48" s="143">
        <f>IF(OR(Variable!$B$4='lifeCycle Costs calculation'!$B$81,Variable!$B$4='lifeCycle Costs calculation'!$B$82),0,'inputdata(costs-benefits) '!$B$71)</f>
        <v>9417000</v>
      </c>
      <c r="Y48" s="143">
        <f>IF(OR(Variable!$B$4='lifeCycle Costs calculation'!$B$81,Variable!$B$4='lifeCycle Costs calculation'!$B$82),0,'inputdata(costs-benefits) '!$B$71)</f>
        <v>9417000</v>
      </c>
      <c r="Z48" s="143">
        <f>IF(OR(Variable!$B$4='lifeCycle Costs calculation'!$B$81,Variable!$B$4='lifeCycle Costs calculation'!$B$82),0,'inputdata(costs-benefits) '!$B$71)</f>
        <v>9417000</v>
      </c>
      <c r="AA48" s="143">
        <f>IF(OR(Variable!$B$4='lifeCycle Costs calculation'!$B$81,Variable!$B$4='lifeCycle Costs calculation'!$B$82),0,'inputdata(costs-benefits) '!$B$71)</f>
        <v>9417000</v>
      </c>
      <c r="AB48" s="143">
        <f>IF(OR(Variable!$B$4='lifeCycle Costs calculation'!$B$81,Variable!$B$4='lifeCycle Costs calculation'!$B$82),0,'inputdata(costs-benefits) '!$B$71)</f>
        <v>9417000</v>
      </c>
      <c r="AC48" s="143">
        <f>IF(OR(Variable!$B$4='lifeCycle Costs calculation'!$B$81,Variable!$B$4='lifeCycle Costs calculation'!$B$82),0,'inputdata(costs-benefits) '!$B$71)</f>
        <v>9417000</v>
      </c>
      <c r="AD48" s="143">
        <f>IF(OR(Variable!$B$4='lifeCycle Costs calculation'!$B$81,Variable!$B$4='lifeCycle Costs calculation'!$B$82),0,'inputdata(costs-benefits) '!$B$71)</f>
        <v>9417000</v>
      </c>
      <c r="AE48" s="143">
        <f>IF(OR(Variable!$B$4='lifeCycle Costs calculation'!$B$81,Variable!$B$4='lifeCycle Costs calculation'!$B$82),0,'inputdata(costs-benefits) '!$B$71)</f>
        <v>9417000</v>
      </c>
      <c r="AF48" s="143">
        <f>IF(OR(Variable!$B$4='lifeCycle Costs calculation'!$B$81,Variable!$B$4='lifeCycle Costs calculation'!$B$82),0,'inputdata(costs-benefits) '!$B$71)</f>
        <v>9417000</v>
      </c>
      <c r="AG48" s="143">
        <f>IF(OR(Variable!$B$4='lifeCycle Costs calculation'!$B$81,Variable!$B$4='lifeCycle Costs calculation'!$B$82),0,'inputdata(costs-benefits) '!$B$71)</f>
        <v>9417000</v>
      </c>
      <c r="AH48" s="143">
        <f>IF(OR(Variable!$B$4='lifeCycle Costs calculation'!$B$81,Variable!$B$4='lifeCycle Costs calculation'!$B$82),0,'inputdata(costs-benefits) '!$B$71)</f>
        <v>9417000</v>
      </c>
    </row>
    <row r="49" spans="1:35" x14ac:dyDescent="0.2">
      <c r="A49" s="44" t="s">
        <v>89</v>
      </c>
      <c r="B49" s="38"/>
      <c r="C49" s="39"/>
      <c r="D49" s="102"/>
      <c r="E49" s="103">
        <f>SUM(E47:E48)</f>
        <v>88306098.062082857</v>
      </c>
      <c r="F49" s="103">
        <f t="shared" ref="F49:AH49" si="1">SUM(F47:F48)</f>
        <v>88306098.062082857</v>
      </c>
      <c r="G49" s="103">
        <f t="shared" si="1"/>
        <v>88306098.062082857</v>
      </c>
      <c r="H49" s="103">
        <f t="shared" si="1"/>
        <v>88306098.062082857</v>
      </c>
      <c r="I49" s="103">
        <f t="shared" si="1"/>
        <v>88306098.062082857</v>
      </c>
      <c r="J49" s="103">
        <f t="shared" si="1"/>
        <v>88306098.062082857</v>
      </c>
      <c r="K49" s="103">
        <f t="shared" si="1"/>
        <v>88306098.062082857</v>
      </c>
      <c r="L49" s="103">
        <f t="shared" si="1"/>
        <v>88306098.062082857</v>
      </c>
      <c r="M49" s="103">
        <f t="shared" si="1"/>
        <v>88306098.062082857</v>
      </c>
      <c r="N49" s="103">
        <f t="shared" si="1"/>
        <v>88306098.062082857</v>
      </c>
      <c r="O49" s="103">
        <f t="shared" si="1"/>
        <v>88306098.062082857</v>
      </c>
      <c r="P49" s="103">
        <f t="shared" si="1"/>
        <v>88306098.062082857</v>
      </c>
      <c r="Q49" s="103">
        <f t="shared" si="1"/>
        <v>88306098.062082857</v>
      </c>
      <c r="R49" s="103">
        <f t="shared" si="1"/>
        <v>88306098.062082857</v>
      </c>
      <c r="S49" s="103">
        <f t="shared" si="1"/>
        <v>88306098.062082857</v>
      </c>
      <c r="T49" s="103">
        <f t="shared" si="1"/>
        <v>88306098.062082857</v>
      </c>
      <c r="U49" s="103">
        <f t="shared" si="1"/>
        <v>88306098.062082857</v>
      </c>
      <c r="V49" s="103">
        <f t="shared" si="1"/>
        <v>88306098.062082857</v>
      </c>
      <c r="W49" s="103">
        <f t="shared" si="1"/>
        <v>88306098.062082857</v>
      </c>
      <c r="X49" s="103">
        <f t="shared" si="1"/>
        <v>88306098.062082857</v>
      </c>
      <c r="Y49" s="103">
        <f t="shared" si="1"/>
        <v>88306098.062082857</v>
      </c>
      <c r="Z49" s="103">
        <f t="shared" si="1"/>
        <v>88306098.062082857</v>
      </c>
      <c r="AA49" s="103">
        <f t="shared" si="1"/>
        <v>88306098.062082857</v>
      </c>
      <c r="AB49" s="103">
        <f t="shared" si="1"/>
        <v>88306098.062082857</v>
      </c>
      <c r="AC49" s="103">
        <f t="shared" si="1"/>
        <v>88306098.062082857</v>
      </c>
      <c r="AD49" s="103">
        <f t="shared" si="1"/>
        <v>88306098.062082857</v>
      </c>
      <c r="AE49" s="103">
        <f t="shared" si="1"/>
        <v>88306098.062082857</v>
      </c>
      <c r="AF49" s="103">
        <f t="shared" si="1"/>
        <v>88306098.062082857</v>
      </c>
      <c r="AG49" s="103">
        <f t="shared" si="1"/>
        <v>88306098.062082857</v>
      </c>
      <c r="AH49" s="103">
        <f t="shared" si="1"/>
        <v>88306098.062082857</v>
      </c>
    </row>
    <row r="50" spans="1:35" x14ac:dyDescent="0.2">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row>
    <row r="51" spans="1:35" ht="16.5" x14ac:dyDescent="0.3">
      <c r="A51" s="486" t="s">
        <v>83</v>
      </c>
      <c r="B51" s="487"/>
      <c r="C51" s="488"/>
      <c r="D51" s="104">
        <v>0</v>
      </c>
      <c r="E51" s="104">
        <f>IF('costs-benefits results'!$G$6&gt;=E38,E38,"")</f>
        <v>1</v>
      </c>
      <c r="F51" s="104">
        <f>IF('costs-benefits results'!$G$6&gt;=F38,F38,"")</f>
        <v>2</v>
      </c>
      <c r="G51" s="104">
        <f>IF('costs-benefits results'!$G$6&gt;=G38,G38,"")</f>
        <v>3</v>
      </c>
      <c r="H51" s="104">
        <f>IF('costs-benefits results'!$G$6&gt;=H38,H38,"")</f>
        <v>4</v>
      </c>
      <c r="I51" s="104">
        <f>IF('costs-benefits results'!$G$6&gt;=I38,I38,"")</f>
        <v>5</v>
      </c>
      <c r="J51" s="104">
        <f>IF('costs-benefits results'!$G$6&gt;=J38,J38,"")</f>
        <v>6</v>
      </c>
      <c r="K51" s="104">
        <f>IF('costs-benefits results'!$G$6&gt;=K38,K38,"")</f>
        <v>7</v>
      </c>
      <c r="L51" s="104">
        <f>IF('costs-benefits results'!$G$6&gt;=L38,L38,"")</f>
        <v>8</v>
      </c>
      <c r="M51" s="104">
        <f>IF('costs-benefits results'!$G$6&gt;=M38,M38,"")</f>
        <v>9</v>
      </c>
      <c r="N51" s="104">
        <f>IF('costs-benefits results'!$G$6&gt;=N38,N38,"")</f>
        <v>10</v>
      </c>
      <c r="O51" s="104">
        <f>IF('costs-benefits results'!$G$6&gt;=O38,O38,"")</f>
        <v>11</v>
      </c>
      <c r="P51" s="104">
        <f>IF('costs-benefits results'!$G$6&gt;=P38,P38,"")</f>
        <v>12</v>
      </c>
      <c r="Q51" s="104">
        <f>IF('costs-benefits results'!$G$6&gt;=Q38,Q38,"")</f>
        <v>13</v>
      </c>
      <c r="R51" s="104">
        <f>IF('costs-benefits results'!$G$6&gt;=R38,R38,"")</f>
        <v>14</v>
      </c>
      <c r="S51" s="104">
        <f>IF('costs-benefits results'!$G$6&gt;=S38,S38,"")</f>
        <v>15</v>
      </c>
      <c r="T51" s="104">
        <f>IF('costs-benefits results'!$G$6&gt;=T38,T38,"")</f>
        <v>16</v>
      </c>
      <c r="U51" s="104">
        <f>IF('costs-benefits results'!$G$6&gt;=U38,U38,"")</f>
        <v>17</v>
      </c>
      <c r="V51" s="104">
        <f>IF('costs-benefits results'!$G$6&gt;=V38,V38,"")</f>
        <v>18</v>
      </c>
      <c r="W51" s="104">
        <f>IF('costs-benefits results'!$G$6&gt;=W38,W38,"")</f>
        <v>19</v>
      </c>
      <c r="X51" s="104">
        <f>IF('costs-benefits results'!$G$6&gt;=X38,X38,"")</f>
        <v>20</v>
      </c>
      <c r="Y51" s="104">
        <f>IF('costs-benefits results'!$G$6&gt;=Y38,Y38,"")</f>
        <v>21</v>
      </c>
      <c r="Z51" s="104">
        <f>IF('costs-benefits results'!$G$6&gt;=Z38,Z38,"")</f>
        <v>22</v>
      </c>
      <c r="AA51" s="104">
        <f>IF('costs-benefits results'!$G$6&gt;=AA38,AA38,"")</f>
        <v>23</v>
      </c>
      <c r="AB51" s="104">
        <f>IF('costs-benefits results'!$G$6&gt;=AB38,AB38,"")</f>
        <v>24</v>
      </c>
      <c r="AC51" s="104">
        <f>IF('costs-benefits results'!$G$6&gt;=AC38,AC38,"")</f>
        <v>25</v>
      </c>
      <c r="AD51" s="104">
        <f>IF('costs-benefits results'!$G$6&gt;=AD38,AD38,"")</f>
        <v>26</v>
      </c>
      <c r="AE51" s="104">
        <f>IF('costs-benefits results'!$G$6&gt;=AE38,AE38,"")</f>
        <v>27</v>
      </c>
      <c r="AF51" s="104">
        <f>IF('costs-benefits results'!$G$6&gt;=AF38,AF38,"")</f>
        <v>28</v>
      </c>
      <c r="AG51" s="104">
        <f>IF('costs-benefits results'!$G$6&gt;=AG38,AG38,"")</f>
        <v>29</v>
      </c>
      <c r="AH51" s="104">
        <f>IF('costs-benefits results'!$G$6&gt;=AH38,AH38,"")</f>
        <v>30</v>
      </c>
      <c r="AI51" s="25"/>
    </row>
    <row r="52" spans="1:35" x14ac:dyDescent="0.2">
      <c r="A52" s="113" t="s">
        <v>97</v>
      </c>
      <c r="B52" s="113"/>
      <c r="C52" s="113"/>
      <c r="D52" s="105">
        <f>D40</f>
        <v>537950000</v>
      </c>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row>
    <row r="53" spans="1:35" x14ac:dyDescent="0.2">
      <c r="A53" s="113" t="s">
        <v>98</v>
      </c>
      <c r="B53" s="113"/>
      <c r="C53" s="113"/>
      <c r="D53" s="106">
        <f>IF('costs-benefits results'!$G$6&gt;=D$38,D45,"")</f>
        <v>0</v>
      </c>
      <c r="E53" s="106">
        <f>IF('costs-benefits results'!$G$6&gt;=E$38,E45,"")</f>
        <v>11620339.212201279</v>
      </c>
      <c r="F53" s="106">
        <f>IF('costs-benefits results'!$G$6&gt;=F$38,F45,"")</f>
        <v>11635761.722825248</v>
      </c>
      <c r="G53" s="106">
        <f>IF('costs-benefits results'!$G$6&gt;=G$38,G45,"")</f>
        <v>11643609.73421061</v>
      </c>
      <c r="H53" s="106">
        <f>IF('costs-benefits results'!$G$6&gt;=H$38,H45,"")</f>
        <v>11651550.35213032</v>
      </c>
      <c r="I53" s="106">
        <f>IF('costs-benefits results'!$G$6&gt;=I$38,I45,"")</f>
        <v>11659584.669341482</v>
      </c>
      <c r="J53" s="106">
        <f>IF('costs-benefits results'!$G$6&gt;=J$38,J45,"")</f>
        <v>11667713.791495737</v>
      </c>
      <c r="K53" s="106">
        <f>IF('costs-benefits results'!$G$6&gt;=K$38,K45,"")</f>
        <v>11675938.837291412</v>
      </c>
      <c r="L53" s="106">
        <f>IF('costs-benefits results'!$G$6&gt;=L$38,L45,"")</f>
        <v>11684260.938627476</v>
      </c>
      <c r="M53" s="106">
        <f>IF('costs-benefits results'!$G$6&gt;=M$38,M45,"")</f>
        <v>11692681.240759306</v>
      </c>
      <c r="N53" s="106">
        <f>IF('costs-benefits results'!$G$6&gt;=N$38,N45,"")</f>
        <v>11701200.902456289</v>
      </c>
      <c r="O53" s="106">
        <f>IF('costs-benefits results'!$G$6&gt;=O$38,O45,"")</f>
        <v>11709821.096161298</v>
      </c>
      <c r="P53" s="106">
        <f>IF('costs-benefits results'!$G$6&gt;=P$38,P45,"")</f>
        <v>11718543.008152027</v>
      </c>
      <c r="Q53" s="106">
        <f>IF('costs-benefits results'!$G$6&gt;=Q$38,Q45,"")</f>
        <v>11727367.838704245</v>
      </c>
      <c r="R53" s="106">
        <f>IF('costs-benefits results'!$G$6&gt;=R$38,R45,"")</f>
        <v>11736296.802256981</v>
      </c>
      <c r="S53" s="106">
        <f>IF('costs-benefits results'!$G$6&gt;=S$38,S45,"")</f>
        <v>36945331.127579637</v>
      </c>
      <c r="T53" s="106">
        <f>IF('costs-benefits results'!$G$6&gt;=T$38,T45,"")</f>
        <v>11754472.057941103</v>
      </c>
      <c r="U53" s="106">
        <f>IF('costs-benefits results'!$G$6&gt;=U$38,U45,"")</f>
        <v>11763720.851280833</v>
      </c>
      <c r="V53" s="106">
        <f>IF('costs-benefits results'!$G$6&gt;=V$38,V45,"")</f>
        <v>11773078.780381972</v>
      </c>
      <c r="W53" s="106">
        <f>IF('costs-benefits results'!$G$6&gt;=W$38,W45,"")</f>
        <v>11782547.133046504</v>
      </c>
      <c r="X53" s="106">
        <f>IF('costs-benefits results'!$G$6&gt;=X$38,X45,"")</f>
        <v>11792127.212272476</v>
      </c>
      <c r="Y53" s="106">
        <f>IF('costs-benefits results'!$G$6&gt;=Y$38,Y45,"")</f>
        <v>11801820.336433318</v>
      </c>
      <c r="Z53" s="106">
        <f>IF('costs-benefits results'!$G$6&gt;=Z$38,Z45,"")</f>
        <v>11811627.839459255</v>
      </c>
      <c r="AA53" s="106">
        <f>IF('costs-benefits results'!$G$6&gt;=AA$38,AA45,"")</f>
        <v>11821551.071020899</v>
      </c>
      <c r="AB53" s="106">
        <f>IF('costs-benefits results'!$G$6&gt;=AB$38,AB45,"")</f>
        <v>11831591.39671497</v>
      </c>
      <c r="AC53" s="106">
        <f>IF('costs-benefits results'!$G$6&gt;=AC$38,AC45,"")</f>
        <v>11841750.198252233</v>
      </c>
      <c r="AD53" s="106">
        <f>IF('costs-benefits results'!$G$6&gt;=AD$38,AD45,"")</f>
        <v>11852028.873647634</v>
      </c>
      <c r="AE53" s="106">
        <f>IF('costs-benefits results'!$G$6&gt;=AE$38,AE45,"")</f>
        <v>11862428.837412702</v>
      </c>
      <c r="AF53" s="106">
        <f>IF('costs-benefits results'!$G$6&gt;=AF$38,AF45,"")</f>
        <v>11872951.520750197</v>
      </c>
      <c r="AG53" s="106">
        <f>IF('costs-benefits results'!$G$6&gt;=AG$38,AG45,"")</f>
        <v>11883598.371751074</v>
      </c>
      <c r="AH53" s="106">
        <f>IF('costs-benefits results'!$G$6&gt;=AH$38,AH45,"")</f>
        <v>11894370.855593761</v>
      </c>
    </row>
    <row r="54" spans="1:35" x14ac:dyDescent="0.2">
      <c r="A54" s="113" t="s">
        <v>89</v>
      </c>
      <c r="B54" s="113"/>
      <c r="C54" s="113"/>
      <c r="D54" s="107">
        <v>0</v>
      </c>
      <c r="E54" s="107">
        <f>IF('costs-benefits results'!$G$6&gt;=E$38,E49,"")</f>
        <v>88306098.062082857</v>
      </c>
      <c r="F54" s="107">
        <f>IF('costs-benefits results'!$G$6&gt;=F$38,F49,"")</f>
        <v>88306098.062082857</v>
      </c>
      <c r="G54" s="107">
        <f>IF('costs-benefits results'!$G$6&gt;=G$38,G49,"")</f>
        <v>88306098.062082857</v>
      </c>
      <c r="H54" s="107">
        <f>IF('costs-benefits results'!$G$6&gt;=H$38,H49,"")</f>
        <v>88306098.062082857</v>
      </c>
      <c r="I54" s="107">
        <f>IF('costs-benefits results'!$G$6&gt;=I$38,I49,"")</f>
        <v>88306098.062082857</v>
      </c>
      <c r="J54" s="107">
        <f>IF('costs-benefits results'!$G$6&gt;=J$38,J49,"")</f>
        <v>88306098.062082857</v>
      </c>
      <c r="K54" s="107">
        <f>IF('costs-benefits results'!$G$6&gt;=K$38,K49,"")</f>
        <v>88306098.062082857</v>
      </c>
      <c r="L54" s="107">
        <f>IF('costs-benefits results'!$G$6&gt;=L$38,L49,"")</f>
        <v>88306098.062082857</v>
      </c>
      <c r="M54" s="107">
        <f>IF('costs-benefits results'!$G$6&gt;=M$38,M49,"")</f>
        <v>88306098.062082857</v>
      </c>
      <c r="N54" s="107">
        <f>IF('costs-benefits results'!$G$6&gt;=N$38,N49,"")</f>
        <v>88306098.062082857</v>
      </c>
      <c r="O54" s="107">
        <f>IF('costs-benefits results'!$G$6&gt;=O$38,O49,"")</f>
        <v>88306098.062082857</v>
      </c>
      <c r="P54" s="107">
        <f>IF('costs-benefits results'!$G$6&gt;=P$38,P49,"")</f>
        <v>88306098.062082857</v>
      </c>
      <c r="Q54" s="107">
        <f>IF('costs-benefits results'!$G$6&gt;=Q$38,Q49,"")</f>
        <v>88306098.062082857</v>
      </c>
      <c r="R54" s="107">
        <f>IF('costs-benefits results'!$G$6&gt;=R$38,R49,"")</f>
        <v>88306098.062082857</v>
      </c>
      <c r="S54" s="107">
        <f>IF('costs-benefits results'!$G$6&gt;=S$38,S49,"")</f>
        <v>88306098.062082857</v>
      </c>
      <c r="T54" s="107">
        <f>IF('costs-benefits results'!$G$6&gt;=T$38,T49,"")</f>
        <v>88306098.062082857</v>
      </c>
      <c r="U54" s="107">
        <f>IF('costs-benefits results'!$G$6&gt;=U$38,U49,"")</f>
        <v>88306098.062082857</v>
      </c>
      <c r="V54" s="107">
        <f>IF('costs-benefits results'!$G$6&gt;=V$38,V49,"")</f>
        <v>88306098.062082857</v>
      </c>
      <c r="W54" s="107">
        <f>IF('costs-benefits results'!$G$6&gt;=W$38,W49,"")</f>
        <v>88306098.062082857</v>
      </c>
      <c r="X54" s="107">
        <f>IF('costs-benefits results'!$G$6&gt;=X$38,X49,"")</f>
        <v>88306098.062082857</v>
      </c>
      <c r="Y54" s="107">
        <f>IF('costs-benefits results'!$G$6&gt;=Y$38,Y49,"")</f>
        <v>88306098.062082857</v>
      </c>
      <c r="Z54" s="107">
        <f>IF('costs-benefits results'!$G$6&gt;=Z$38,Z49,"")</f>
        <v>88306098.062082857</v>
      </c>
      <c r="AA54" s="107">
        <f>IF('costs-benefits results'!$G$6&gt;=AA$38,AA49,"")</f>
        <v>88306098.062082857</v>
      </c>
      <c r="AB54" s="107">
        <f>IF('costs-benefits results'!$G$6&gt;=AB$38,AB49,"")</f>
        <v>88306098.062082857</v>
      </c>
      <c r="AC54" s="107">
        <f>IF('costs-benefits results'!$G$6&gt;=AC$38,AC49,"")</f>
        <v>88306098.062082857</v>
      </c>
      <c r="AD54" s="107">
        <f>IF('costs-benefits results'!$G$6&gt;=AD$38,AD49,"")</f>
        <v>88306098.062082857</v>
      </c>
      <c r="AE54" s="107">
        <f>IF('costs-benefits results'!$G$6&gt;=AE$38,AE49,"")</f>
        <v>88306098.062082857</v>
      </c>
      <c r="AF54" s="107">
        <f>IF('costs-benefits results'!$G$6&gt;=AF$38,AF49,"")</f>
        <v>88306098.062082857</v>
      </c>
      <c r="AG54" s="107">
        <f>IF('costs-benefits results'!$G$6&gt;=AG$38,AG49,"")</f>
        <v>88306098.062082857</v>
      </c>
      <c r="AH54" s="107">
        <f>IF('costs-benefits results'!$G$6&gt;=AH$38,AH49,"")</f>
        <v>88306098.062082857</v>
      </c>
    </row>
    <row r="55" spans="1:35" x14ac:dyDescent="0.2">
      <c r="A55" s="113" t="s">
        <v>79</v>
      </c>
      <c r="B55" s="113"/>
      <c r="C55" s="113"/>
      <c r="D55" s="105">
        <f>IF('costs-benefits results'!$G$6&gt;=D$38,-(D52-D54),"")</f>
        <v>-537950000</v>
      </c>
      <c r="E55" s="105">
        <f>IF('costs-benefits results'!$G$6&gt;=E$38,-(E53-E54),"")</f>
        <v>76685758.849881575</v>
      </c>
      <c r="F55" s="105">
        <f>IF('costs-benefits results'!$G$6&gt;=F$38,-(F53-F54),"")</f>
        <v>76670336.339257613</v>
      </c>
      <c r="G55" s="105">
        <f>IF('costs-benefits results'!$G$6&gt;=G$38,-(G53-G54),"")</f>
        <v>76662488.327872247</v>
      </c>
      <c r="H55" s="105">
        <f>IF('costs-benefits results'!$G$6&gt;=H$38,-(H53-H54),"")</f>
        <v>76654547.709952533</v>
      </c>
      <c r="I55" s="105">
        <f>IF('costs-benefits results'!$G$6&gt;=I$38,-(I53-I54),"")</f>
        <v>76646513.392741382</v>
      </c>
      <c r="J55" s="105">
        <f>IF('costs-benefits results'!$G$6&gt;=J$38,-(J53-J54),"")</f>
        <v>76638384.270587116</v>
      </c>
      <c r="K55" s="105">
        <f>IF('costs-benefits results'!$G$6&gt;=K$38,-(K53-K54),"")</f>
        <v>76630159.224791437</v>
      </c>
      <c r="L55" s="105">
        <f>IF('costs-benefits results'!$G$6&gt;=L$38,-(L53-L54),"")</f>
        <v>76621837.123455375</v>
      </c>
      <c r="M55" s="105">
        <f>IF('costs-benefits results'!$G$6&gt;=M$38,-(M53-M54),"")</f>
        <v>76613416.821323544</v>
      </c>
      <c r="N55" s="105">
        <f>IF('costs-benefits results'!$G$6&gt;=N$38,-(N53-N54),"")</f>
        <v>76604897.159626573</v>
      </c>
      <c r="O55" s="105">
        <f>IF('costs-benefits results'!$G$6&gt;=O$38,-(O53-O54),"")</f>
        <v>76596276.965921551</v>
      </c>
      <c r="P55" s="105">
        <f>IF('costs-benefits results'!$G$6&gt;=P$38,-(P53-P54),"")</f>
        <v>76587555.053930834</v>
      </c>
      <c r="Q55" s="105">
        <f>IF('costs-benefits results'!$G$6&gt;=Q$38,-(Q53-Q54),"")</f>
        <v>76578730.223378614</v>
      </c>
      <c r="R55" s="105">
        <f>IF('costs-benefits results'!$G$6&gt;=R$38,-(R53-R54),"")</f>
        <v>76569801.25982587</v>
      </c>
      <c r="S55" s="105">
        <f>IF('costs-benefits results'!$G$6&gt;=S$38,-(S53-S54),"")</f>
        <v>51360766.93450322</v>
      </c>
      <c r="T55" s="105">
        <f>IF('costs-benefits results'!$G$6&gt;=T$38,-(T53-T54),"")</f>
        <v>76551626.004141748</v>
      </c>
      <c r="U55" s="105">
        <f>IF('costs-benefits results'!$G$6&gt;=U$38,-(U53-U54),"")</f>
        <v>76542377.210802019</v>
      </c>
      <c r="V55" s="105">
        <f>IF('costs-benefits results'!$G$6&gt;=V$38,-(V53-V54),"")</f>
        <v>76533019.281700879</v>
      </c>
      <c r="W55" s="105">
        <f>IF('costs-benefits results'!$G$6&gt;=W$38,-(W53-W54),"")</f>
        <v>76523550.929036349</v>
      </c>
      <c r="X55" s="105">
        <f>IF('costs-benefits results'!$G$6&gt;=X$38,-(X53-X54),"")</f>
        <v>76513970.849810377</v>
      </c>
      <c r="Y55" s="105">
        <f>IF('costs-benefits results'!$G$6&gt;=Y$38,-(Y53-Y54),"")</f>
        <v>76504277.725649536</v>
      </c>
      <c r="Z55" s="105">
        <f>IF('costs-benefits results'!$G$6&gt;=Z$38,-(Z53-Z54),"")</f>
        <v>76494470.222623602</v>
      </c>
      <c r="AA55" s="105">
        <f>IF('costs-benefits results'!$G$6&gt;=AA$38,-(AA53-AA54),"")</f>
        <v>76484546.991061956</v>
      </c>
      <c r="AB55" s="105">
        <f>IF('costs-benefits results'!$G$6&gt;=AB$38,-(AB53-AB54),"")</f>
        <v>76474506.665367886</v>
      </c>
      <c r="AC55" s="105">
        <f>IF('costs-benefits results'!$G$6&gt;=AC$38,-(AC53-AC54),"")</f>
        <v>76464347.863830626</v>
      </c>
      <c r="AD55" s="105">
        <f>IF('costs-benefits results'!$G$6&gt;=AD$38,-(AD53-AD54),"")</f>
        <v>76454069.188435227</v>
      </c>
      <c r="AE55" s="105">
        <f>IF('costs-benefits results'!$G$6&gt;=AE$38,-(AE53-AE54),"")</f>
        <v>76443669.224670157</v>
      </c>
      <c r="AF55" s="105">
        <f>IF('costs-benefits results'!$G$6&gt;=AF$38,-(AF53-AF54),"")</f>
        <v>76433146.541332662</v>
      </c>
      <c r="AG55" s="105">
        <f>IF('costs-benefits results'!$G$6&gt;=AG$38,-(AG53-AG54),"")</f>
        <v>76422499.690331787</v>
      </c>
      <c r="AH55" s="105">
        <f>IF('costs-benefits results'!$G$6&gt;=AH$38,-(AH53-AH54),"")</f>
        <v>76411727.206489101</v>
      </c>
    </row>
    <row r="56" spans="1:35" x14ac:dyDescent="0.2">
      <c r="A56" s="113" t="str">
        <f>CONCATENATE("Discount Factors @ ",100*'costs-benefits results'!G5,"%")</f>
        <v>Discount Factors @ 3%</v>
      </c>
      <c r="B56" s="113"/>
      <c r="C56" s="113"/>
      <c r="D56" s="108">
        <f>IF('costs-benefits results'!$G$6&gt;=D$38,1/((1+'costs-benefits results'!$G$5)^D$38),"")</f>
        <v>1</v>
      </c>
      <c r="E56" s="108">
        <f>IF('costs-benefits results'!$G$6&gt;=E$38,1/((1+'costs-benefits results'!$G$5)^E$38),"")</f>
        <v>0.970873786407767</v>
      </c>
      <c r="F56" s="108">
        <f>IF('costs-benefits results'!$G$6&gt;=F$38,1/((1+'costs-benefits results'!$G$5)^F$38),"")</f>
        <v>0.94259590913375435</v>
      </c>
      <c r="G56" s="108">
        <f>IF('costs-benefits results'!$G$6&gt;=G$38,1/((1+'costs-benefits results'!$G$5)^G$38),"")</f>
        <v>0.91514165935315961</v>
      </c>
      <c r="H56" s="108">
        <f>IF('costs-benefits results'!$G$6&gt;=H$38,1/((1+'costs-benefits results'!$G$5)^H$38),"")</f>
        <v>0.888487047915689</v>
      </c>
      <c r="I56" s="108">
        <f>IF('costs-benefits results'!$G$6&gt;=I$38,1/((1+'costs-benefits results'!$G$5)^I$38),"")</f>
        <v>0.86260878438416411</v>
      </c>
      <c r="J56" s="108">
        <f>IF('costs-benefits results'!$G$6&gt;=J$38,1/((1+'costs-benefits results'!$G$5)^J$38),"")</f>
        <v>0.83748425668365445</v>
      </c>
      <c r="K56" s="108">
        <f>IF('costs-benefits results'!$G$6&gt;=K$38,1/((1+'costs-benefits results'!$G$5)^K$38),"")</f>
        <v>0.81309151134335378</v>
      </c>
      <c r="L56" s="108">
        <f>IF('costs-benefits results'!$G$6&gt;=L$38,1/((1+'costs-benefits results'!$G$5)^L$38),"")</f>
        <v>0.78940923431393573</v>
      </c>
      <c r="M56" s="108">
        <f>IF('costs-benefits results'!$G$6&gt;=M$38,1/((1+'costs-benefits results'!$G$5)^M$38),"")</f>
        <v>0.76641673234362695</v>
      </c>
      <c r="N56" s="108">
        <f>IF('costs-benefits results'!$G$6&gt;=N$38,1/((1+'costs-benefits results'!$G$5)^N$38),"")</f>
        <v>0.74409391489672516</v>
      </c>
      <c r="O56" s="108">
        <f>IF('costs-benefits results'!$G$6&gt;=O$38,1/((1+'costs-benefits results'!$G$5)^O$38),"")</f>
        <v>0.72242127659876232</v>
      </c>
      <c r="P56" s="108">
        <f>IF('costs-benefits results'!$G$6&gt;=P$38,1/((1+'costs-benefits results'!$G$5)^P$38),"")</f>
        <v>0.70137988019297326</v>
      </c>
      <c r="Q56" s="108">
        <f>IF('costs-benefits results'!$G$6&gt;=Q$38,1/((1+'costs-benefits results'!$G$5)^Q$38),"")</f>
        <v>0.68095133999317792</v>
      </c>
      <c r="R56" s="108">
        <f>IF('costs-benefits results'!$G$6&gt;=R$38,1/((1+'costs-benefits results'!$G$5)^R$38),"")</f>
        <v>0.66111780581861923</v>
      </c>
      <c r="S56" s="108">
        <f>IF('costs-benefits results'!$G$6&gt;=S$38,1/((1+'costs-benefits results'!$G$5)^S$38),"")</f>
        <v>0.64186194739671765</v>
      </c>
      <c r="T56" s="108">
        <f>IF('costs-benefits results'!$G$6&gt;=T$38,1/((1+'costs-benefits results'!$G$5)^T$38),"")</f>
        <v>0.62316693922011435</v>
      </c>
      <c r="U56" s="108">
        <f>IF('costs-benefits results'!$G$6&gt;=U$38,1/((1+'costs-benefits results'!$G$5)^U$38),"")</f>
        <v>0.60501644584477121</v>
      </c>
      <c r="V56" s="108">
        <f>IF('costs-benefits results'!$G$6&gt;=V$38,1/((1+'costs-benefits results'!$G$5)^V$38),"")</f>
        <v>0.5873946076162827</v>
      </c>
      <c r="W56" s="108">
        <f>IF('costs-benefits results'!$G$6&gt;=W$38,1/((1+'costs-benefits results'!$G$5)^W$38),"")</f>
        <v>0.57028602681192497</v>
      </c>
      <c r="X56" s="108">
        <f>IF('costs-benefits results'!$G$6&gt;=X$38,1/((1+'costs-benefits results'!$G$5)^X$38),"")</f>
        <v>0.55367575418633497</v>
      </c>
      <c r="Y56" s="108">
        <f>IF('costs-benefits results'!$G$6&gt;=Y$38,1/((1+'costs-benefits results'!$G$5)^Y$38),"")</f>
        <v>0.5375492759090631</v>
      </c>
      <c r="Z56" s="108">
        <f>IF('costs-benefits results'!$G$6&gt;=Z$38,1/((1+'costs-benefits results'!$G$5)^Z$38),"")</f>
        <v>0.52189250088258554</v>
      </c>
      <c r="AA56" s="108">
        <f>IF('costs-benefits results'!$G$6&gt;=AA$38,1/((1+'costs-benefits results'!$G$5)^AA$38),"")</f>
        <v>0.50669174842969467</v>
      </c>
      <c r="AB56" s="108">
        <f>IF('costs-benefits results'!$G$6&gt;=AB$38,1/((1+'costs-benefits results'!$G$5)^AB$38),"")</f>
        <v>0.49193373633950943</v>
      </c>
      <c r="AC56" s="108">
        <f>IF('costs-benefits results'!$G$6&gt;=AC$38,1/((1+'costs-benefits results'!$G$5)^AC$38),"")</f>
        <v>0.47760556926165965</v>
      </c>
      <c r="AD56" s="108">
        <f>IF('costs-benefits results'!$G$6&gt;=AD$38,1/((1+'costs-benefits results'!$G$5)^AD$38),"")</f>
        <v>0.46369472743850448</v>
      </c>
      <c r="AE56" s="108">
        <f>IF('costs-benefits results'!$G$6&gt;=AE$38,1/((1+'costs-benefits results'!$G$5)^AE$38),"")</f>
        <v>0.45018905576553836</v>
      </c>
      <c r="AF56" s="108">
        <f>IF('costs-benefits results'!$G$6&gt;=AF$38,1/((1+'costs-benefits results'!$G$5)^AF$38),"")</f>
        <v>0.4370767531704256</v>
      </c>
      <c r="AG56" s="108">
        <f>IF('costs-benefits results'!$G$6&gt;=AG$38,1/((1+'costs-benefits results'!$G$5)^AG$38),"")</f>
        <v>0.42434636230138412</v>
      </c>
      <c r="AH56" s="108">
        <f>IF('costs-benefits results'!$G$6&gt;=AH$38,1/((1+'costs-benefits results'!$G$5)^AH$38),"")</f>
        <v>0.41198675951590691</v>
      </c>
    </row>
    <row r="57" spans="1:35" x14ac:dyDescent="0.2">
      <c r="A57" s="113" t="s">
        <v>80</v>
      </c>
      <c r="B57" s="113"/>
      <c r="C57" s="114"/>
      <c r="D57" s="105">
        <f>IF('costs-benefits results'!$G$6&gt;=D$38,D55*D56,"")</f>
        <v>-537950000</v>
      </c>
      <c r="E57" s="105">
        <f>IF('costs-benefits results'!$G$6&gt;=E$38,E55*E56,"")</f>
        <v>74452193.058137447</v>
      </c>
      <c r="F57" s="105">
        <f>IF('costs-benefits results'!$G$6&gt;=F$38,F55*F56,"")</f>
        <v>72269145.38529326</v>
      </c>
      <c r="G57" s="105">
        <f>IF('costs-benefits results'!$G$6&gt;=G$38,G55*G56,"")</f>
        <v>70157036.778511241</v>
      </c>
      <c r="H57" s="105">
        <f>IF('costs-benefits results'!$G$6&gt;=H$38,H55*H56,"")</f>
        <v>68106572.804128066</v>
      </c>
      <c r="I57" s="105">
        <f>IF('costs-benefits results'!$G$6&gt;=I$38,I55*I56,"")</f>
        <v>66115955.744997196</v>
      </c>
      <c r="J57" s="105">
        <f>IF('costs-benefits results'!$G$6&gt;=J$38,J55*J56,"")</f>
        <v>64183440.284288928</v>
      </c>
      <c r="K57" s="105">
        <f>IF('costs-benefits results'!$G$6&gt;=K$38,K55*K56,"")</f>
        <v>62307331.978567511</v>
      </c>
      <c r="L57" s="105">
        <f>IF('costs-benefits results'!$G$6&gt;=L$38,L55*L56,"")</f>
        <v>60485985.775354005</v>
      </c>
      <c r="M57" s="105">
        <f>IF('costs-benefits results'!$G$6&gt;=M$38,M55*M56,"")</f>
        <v>58717804.573879056</v>
      </c>
      <c r="N57" s="105">
        <f>IF('costs-benefits results'!$G$6&gt;=N$38,N55*N56,"")</f>
        <v>57001237.827767558</v>
      </c>
      <c r="O57" s="105">
        <f>IF('costs-benefits results'!$G$6&gt;=O$38,O55*O56,"")</f>
        <v>55334780.188433416</v>
      </c>
      <c r="P57" s="105">
        <f>IF('costs-benefits results'!$G$6&gt;=P$38,P55*P56,"")</f>
        <v>53716970.187998749</v>
      </c>
      <c r="Q57" s="105">
        <f>IF('costs-benefits results'!$G$6&gt;=Q$38,Q55*Q56,"")</f>
        <v>52146388.960585743</v>
      </c>
      <c r="R57" s="105">
        <f>IF('costs-benefits results'!$G$6&gt;=R$38,R55*R56,"")</f>
        <v>50621659.000863828</v>
      </c>
      <c r="S57" s="105">
        <f>IF('costs-benefits results'!$G$6&gt;=S$38,S55*S56,"")</f>
        <v>32966521.88436918</v>
      </c>
      <c r="T57" s="105">
        <f>IF('costs-benefits results'!$G$6&gt;=T$38,T55*T56,"")</f>
        <v>47704442.469323926</v>
      </c>
      <c r="U57" s="105">
        <f>IF('costs-benefits results'!$G$6&gt;=U$38,U55*U56,"")</f>
        <v>46309397.016589247</v>
      </c>
      <c r="V57" s="105">
        <f>IF('costs-benefits results'!$G$6&gt;=V$38,V55*V56,"")</f>
        <v>44955082.830664083</v>
      </c>
      <c r="W57" s="105">
        <f>IF('costs-benefits results'!$G$6&gt;=W$38,W55*W56,"")</f>
        <v>43640311.816860132</v>
      </c>
      <c r="X57" s="105">
        <f>IF('costs-benefits results'!$G$6&gt;=X$38,X55*X56,"")</f>
        <v>42363930.51606001</v>
      </c>
      <c r="Y57" s="105">
        <f>IF('costs-benefits results'!$G$6&gt;=Y$38,Y55*Y56,"")</f>
        <v>41124819.095368773</v>
      </c>
      <c r="Z57" s="105">
        <f>IF('costs-benefits results'!$G$6&gt;=Z$38,Z55*Z56,"")</f>
        <v>39921890.368173502</v>
      </c>
      <c r="AA57" s="105">
        <f>IF('costs-benefits results'!$G$6&gt;=AA$38,AA55*AA56,"")</f>
        <v>38754088.842754327</v>
      </c>
      <c r="AB57" s="105">
        <f>IF('costs-benefits results'!$G$6&gt;=AB$38,AB55*AB56,"")</f>
        <v>37620389.798615143</v>
      </c>
      <c r="AC57" s="105">
        <f>IF('costs-benefits results'!$G$6&gt;=AC$38,AC55*AC56,"")</f>
        <v>36519798.389726393</v>
      </c>
      <c r="AD57" s="105">
        <f>IF('costs-benefits results'!$G$6&gt;=AD$38,AD55*AD56,"")</f>
        <v>35451348.773896039</v>
      </c>
      <c r="AE57" s="105">
        <f>IF('costs-benefits results'!$G$6&gt;=AE$38,AE55*AE56,"")</f>
        <v>34414103.267507404</v>
      </c>
      <c r="AF57" s="105">
        <f>IF('costs-benefits results'!$G$6&gt;=AF$38,AF55*AF56,"")</f>
        <v>33407151.524885025</v>
      </c>
      <c r="AG57" s="105">
        <f>IF('costs-benefits results'!$G$6&gt;=AG$38,AG55*AG56,"")</f>
        <v>32429609.74157095</v>
      </c>
      <c r="AH57" s="105">
        <f>IF('costs-benefits results'!$G$6&gt;=AH$38,AH55*AH56,"")</f>
        <v>31480619.880814906</v>
      </c>
      <c r="AI57"/>
    </row>
    <row r="58" spans="1:35" x14ac:dyDescent="0.2">
      <c r="A58" s="113" t="s">
        <v>81</v>
      </c>
      <c r="B58" s="115"/>
      <c r="C58" s="116">
        <f>SUM(D57:AH57)</f>
        <v>946730008.76598489</v>
      </c>
      <c r="D58" s="109"/>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row>
    <row r="59" spans="1:35" x14ac:dyDescent="0.2">
      <c r="A59" s="113"/>
      <c r="B59" s="113"/>
      <c r="C59" s="11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row>
    <row r="60" spans="1:35" ht="13.5" x14ac:dyDescent="0.25">
      <c r="A60" s="480" t="s">
        <v>88</v>
      </c>
      <c r="B60" s="481"/>
      <c r="C60" s="482"/>
      <c r="D60" s="104">
        <v>0</v>
      </c>
      <c r="E60" s="104">
        <f>IF('costs-benefits results'!$G$6&gt;=E51,E51,"")</f>
        <v>1</v>
      </c>
      <c r="F60" s="104">
        <f>IF('costs-benefits results'!$G$6&gt;=F51,F51,"")</f>
        <v>2</v>
      </c>
      <c r="G60" s="104">
        <f>IF('costs-benefits results'!$G$6&gt;=G51,G51,"")</f>
        <v>3</v>
      </c>
      <c r="H60" s="104">
        <f>IF('costs-benefits results'!$G$6&gt;=H51,H51,"")</f>
        <v>4</v>
      </c>
      <c r="I60" s="104">
        <f>IF('costs-benefits results'!$G$6&gt;=I51,I51,"")</f>
        <v>5</v>
      </c>
      <c r="J60" s="104">
        <f>IF('costs-benefits results'!$G$6&gt;=J51,J51,"")</f>
        <v>6</v>
      </c>
      <c r="K60" s="104">
        <f>IF('costs-benefits results'!$G$6&gt;=K51,K51,"")</f>
        <v>7</v>
      </c>
      <c r="L60" s="104">
        <f>IF('costs-benefits results'!$G$6&gt;=L51,L51,"")</f>
        <v>8</v>
      </c>
      <c r="M60" s="104">
        <f>IF('costs-benefits results'!$G$6&gt;=M51,M51,"")</f>
        <v>9</v>
      </c>
      <c r="N60" s="104">
        <f>IF('costs-benefits results'!$G$6&gt;=N51,N51,"")</f>
        <v>10</v>
      </c>
      <c r="O60" s="104">
        <f>IF('costs-benefits results'!$G$6&gt;=O51,O51,"")</f>
        <v>11</v>
      </c>
      <c r="P60" s="104">
        <f>IF('costs-benefits results'!$G$6&gt;=P51,P51,"")</f>
        <v>12</v>
      </c>
      <c r="Q60" s="104">
        <f>IF('costs-benefits results'!$G$6&gt;=Q51,Q51,"")</f>
        <v>13</v>
      </c>
      <c r="R60" s="104">
        <f>IF('costs-benefits results'!$G$6&gt;=R51,R51,"")</f>
        <v>14</v>
      </c>
      <c r="S60" s="104">
        <f>IF('costs-benefits results'!$G$6&gt;=S51,S51,"")</f>
        <v>15</v>
      </c>
      <c r="T60" s="104">
        <f>IF('costs-benefits results'!$G$6&gt;=T51,T51,"")</f>
        <v>16</v>
      </c>
      <c r="U60" s="104">
        <f>IF('costs-benefits results'!$G$6&gt;=U51,U51,"")</f>
        <v>17</v>
      </c>
      <c r="V60" s="104">
        <f>IF('costs-benefits results'!$G$6&gt;=V51,V51,"")</f>
        <v>18</v>
      </c>
      <c r="W60" s="104">
        <f>IF('costs-benefits results'!$G$6&gt;=W51,W51,"")</f>
        <v>19</v>
      </c>
      <c r="X60" s="104">
        <f>IF('costs-benefits results'!$G$6&gt;=X51,X51,"")</f>
        <v>20</v>
      </c>
      <c r="Y60" s="104">
        <f>IF('costs-benefits results'!$G$6&gt;=Y51,Y51,"")</f>
        <v>21</v>
      </c>
      <c r="Z60" s="104">
        <f>IF('costs-benefits results'!$G$6&gt;=Z51,Z51,"")</f>
        <v>22</v>
      </c>
      <c r="AA60" s="104">
        <f>IF('costs-benefits results'!$G$6&gt;=AA51,AA51,"")</f>
        <v>23</v>
      </c>
      <c r="AB60" s="104">
        <f>IF('costs-benefits results'!$G$6&gt;=AB51,AB51,"")</f>
        <v>24</v>
      </c>
      <c r="AC60" s="104">
        <f>IF('costs-benefits results'!$G$6&gt;=AC51,AC51,"")</f>
        <v>25</v>
      </c>
      <c r="AD60" s="104">
        <f>IF('costs-benefits results'!$G$6&gt;=AD51,AD51,"")</f>
        <v>26</v>
      </c>
      <c r="AE60" s="104">
        <f>IF('costs-benefits results'!$G$6&gt;=AE51,AE51,"")</f>
        <v>27</v>
      </c>
      <c r="AF60" s="104">
        <f>IF('costs-benefits results'!$G$6&gt;=AF51,AF51,"")</f>
        <v>28</v>
      </c>
      <c r="AG60" s="104">
        <f>IF('costs-benefits results'!$G$6&gt;=AG51,AG51,"")</f>
        <v>29</v>
      </c>
      <c r="AH60" s="104">
        <f>IF('costs-benefits results'!$G$6&gt;=AH51,AH51,"")</f>
        <v>30</v>
      </c>
      <c r="AI60" s="25"/>
    </row>
    <row r="61" spans="1:35" x14ac:dyDescent="0.2">
      <c r="A61" s="113" t="s">
        <v>90</v>
      </c>
      <c r="B61" s="113"/>
      <c r="C61" s="113"/>
      <c r="D61" s="105">
        <f>IF('costs-benefits results'!$G$6&gt;=D$38,D52*D56,"")</f>
        <v>537950000</v>
      </c>
      <c r="E61" s="105">
        <f>IF('costs-benefits results'!$G$6&gt;=E$38,E56*E53,"")</f>
        <v>11281882.730292503</v>
      </c>
      <c r="F61" s="105">
        <f>IF('costs-benefits results'!$G$6&gt;=F$38,F56*F53,"")</f>
        <v>10967821.399590204</v>
      </c>
      <c r="G61" s="105">
        <f>IF('costs-benefits results'!$G$6&gt;=G$38,G56*G53,"")</f>
        <v>10655552.3330261</v>
      </c>
      <c r="H61" s="105">
        <f>IF('costs-benefits results'!$G$6&gt;=H$38,H56*H53,"")</f>
        <v>10352251.576005274</v>
      </c>
      <c r="I61" s="105">
        <f>IF('costs-benefits results'!$G$6&gt;=I$38,I56*I53,"")</f>
        <v>10057660.158044891</v>
      </c>
      <c r="J61" s="105">
        <f>IF('costs-benefits results'!$G$6&gt;=J$38,J53*J56,"")</f>
        <v>9771526.6118684299</v>
      </c>
      <c r="K61" s="105">
        <f>IF('costs-benefits results'!$G$6&gt;=K$38,K53*K56,"")</f>
        <v>9493606.7555658352</v>
      </c>
      <c r="L61" s="105">
        <f>IF('costs-benefits results'!$G$6&gt;=L$38,L53*L56,"")</f>
        <v>9223663.4810861442</v>
      </c>
      <c r="M61" s="105">
        <f>IF('costs-benefits results'!$G$6&gt;=M$38,M53*M56,"")</f>
        <v>8961466.5488783717</v>
      </c>
      <c r="N61" s="105">
        <f>IF('costs-benefits results'!$G$6&gt;=N$38,N53*N56,"")</f>
        <v>8706792.3885017931</v>
      </c>
      <c r="O61" s="105">
        <f>IF('costs-benefits results'!$G$6&gt;=O$38,O53*O56,"")</f>
        <v>8459423.9050319642</v>
      </c>
      <c r="P61" s="105">
        <f>IF('costs-benefits results'!$G$6&gt;=P$38,P53*P56,"")</f>
        <v>8219150.2910938729</v>
      </c>
      <c r="Q61" s="105">
        <f>IF('costs-benefits results'!$G$6&gt;=Q$38,Q53*Q56,"")</f>
        <v>7985766.8443585541</v>
      </c>
      <c r="R61" s="105">
        <f>IF('costs-benefits results'!$G$6&gt;=R$38,R53*R56,"")</f>
        <v>7759074.7903442122</v>
      </c>
      <c r="S61" s="105">
        <f>IF('costs-benefits results'!$G$6&gt;=S$38,S53*S56,"")</f>
        <v>23713802.184764836</v>
      </c>
      <c r="T61" s="105">
        <f>IF('costs-benefits results'!$G$6&gt;=T$38,T53*T56,"")</f>
        <v>7324998.3744955156</v>
      </c>
      <c r="U61" s="105">
        <f>IF('costs-benefits results'!$G$6&gt;=U$38,U53*U56,"")</f>
        <v>7117244.579351956</v>
      </c>
      <c r="V61" s="105">
        <f>IF('costs-benefits results'!$G$6&gt;=V$38,V53*V56,"")</f>
        <v>6915442.9906380521</v>
      </c>
      <c r="W61" s="105">
        <f>IF('costs-benefits results'!$G$6&gt;=W$38,W53*W56,"")</f>
        <v>6719421.9902293282</v>
      </c>
      <c r="X61" s="105">
        <f>IF('costs-benefits results'!$G$6&gt;=X$38,X53*X56,"")</f>
        <v>6529014.9277161667</v>
      </c>
      <c r="Y61" s="105">
        <f>IF('costs-benefits results'!$G$6&gt;=Y$38,Y53*Y56,"")</f>
        <v>6344059.9762585852</v>
      </c>
      <c r="Z61" s="105">
        <f>IF('costs-benefits results'!$G$6&gt;=Z$38,Z53*Z56,"")</f>
        <v>6164399.9926297618</v>
      </c>
      <c r="AA61" s="105">
        <f>IF('costs-benefits results'!$G$6&gt;=AA$38,AA53*AA56,"")</f>
        <v>5989882.3813265087</v>
      </c>
      <c r="AB61" s="105">
        <f>IF('costs-benefits results'!$G$6&gt;=AB$38,AB53*AB56,"")</f>
        <v>5820358.9626283906</v>
      </c>
      <c r="AC61" s="105">
        <f>IF('costs-benefits results'!$G$6&gt;=AC$38,AC53*AC56,"")</f>
        <v>5655685.8444906287</v>
      </c>
      <c r="AD61" s="105">
        <f>IF('costs-benefits results'!$G$6&gt;=AD$38,AD53*AD56,"")</f>
        <v>5495723.2981593246</v>
      </c>
      <c r="AE61" s="105">
        <f>IF('costs-benefits results'!$G$6&gt;=AE$38,AE53*AE56,"")</f>
        <v>5340335.6374007175</v>
      </c>
      <c r="AF61" s="105">
        <f>IF('costs-benefits results'!$G$6&gt;=AF$38,AF53*AF56,"")</f>
        <v>5189391.1012393627</v>
      </c>
      <c r="AG61" s="105">
        <f>IF('costs-benefits results'!$G$6&gt;=AG$38,AG53*AG56,"")</f>
        <v>5042761.7401032196</v>
      </c>
      <c r="AH61" s="105">
        <f>IF('costs-benefits results'!$G$6&gt;=AH$38,AH53*AH56,"")</f>
        <v>4900323.3052765187</v>
      </c>
    </row>
    <row r="62" spans="1:35" x14ac:dyDescent="0.2">
      <c r="A62" s="113" t="s">
        <v>91</v>
      </c>
      <c r="B62" s="113"/>
      <c r="C62" s="113"/>
      <c r="D62" s="105">
        <f>IF('costs-benefits results'!$G$6&gt;=D$38,D56*D54,"")</f>
        <v>0</v>
      </c>
      <c r="E62" s="105">
        <f>IF('costs-benefits results'!$G$6&gt;=E$38,E56*E54,"")</f>
        <v>85734075.788429961</v>
      </c>
      <c r="F62" s="105">
        <f>IF('costs-benefits results'!$G$6&gt;=F$38,F56*F54,"")</f>
        <v>83236966.784883454</v>
      </c>
      <c r="G62" s="105">
        <f>IF('costs-benefits results'!$G$6&gt;=G$38,G56*G54,"")</f>
        <v>80812589.111537337</v>
      </c>
      <c r="H62" s="105">
        <f>IF('costs-benefits results'!$G$6&gt;=H$38,H56*H54,"")</f>
        <v>78458824.380133346</v>
      </c>
      <c r="I62" s="105">
        <f>IF('costs-benefits results'!$G$6&gt;=I$38,I56*I54,"")</f>
        <v>76173615.903042078</v>
      </c>
      <c r="J62" s="105">
        <f>IF('costs-benefits results'!$G$6&gt;=J$38,J56*J54,"")</f>
        <v>73954966.896157354</v>
      </c>
      <c r="K62" s="105">
        <f>IF('costs-benefits results'!$G$6&gt;=K$38,K56*K54,"")</f>
        <v>71800938.734133348</v>
      </c>
      <c r="L62" s="105">
        <f>IF('costs-benefits results'!$G$6&gt;=L$38,L56*L54,"")</f>
        <v>69709649.256440148</v>
      </c>
      <c r="M62" s="105">
        <f>IF('costs-benefits results'!$G$6&gt;=M$38,M56*M54,"")</f>
        <v>67679271.122757435</v>
      </c>
      <c r="N62" s="105">
        <f>IF('costs-benefits results'!$G$6&gt;=N$38,N56*N54,"")</f>
        <v>65708030.216269352</v>
      </c>
      <c r="O62" s="105">
        <f>IF('costs-benefits results'!$G$6&gt;=O$38,O56*O54,"")</f>
        <v>63794204.093465388</v>
      </c>
      <c r="P62" s="105">
        <f>IF('costs-benefits results'!$G$6&gt;=P$38,P56*P54,"")</f>
        <v>61936120.47909262</v>
      </c>
      <c r="Q62" s="105">
        <f>IF('costs-benefits results'!$G$6&gt;=Q$38,Q56*Q54,"")</f>
        <v>60132155.804944292</v>
      </c>
      <c r="R62" s="105">
        <f>IF('costs-benefits results'!$G$6&gt;=R$38,R56*R54,"")</f>
        <v>58380733.791208044</v>
      </c>
      <c r="S62" s="105">
        <f>IF('costs-benefits results'!$G$6&gt;=S$38,S56*S54,"")</f>
        <v>56680324.069134019</v>
      </c>
      <c r="T62" s="105">
        <f>IF('costs-benefits results'!$G$6&gt;=T$38,T56*T54,"")</f>
        <v>55029440.843819447</v>
      </c>
      <c r="U62" s="105">
        <f>IF('costs-benefits results'!$G$6&gt;=U$38,U56*U54,"")</f>
        <v>53426641.595941208</v>
      </c>
      <c r="V62" s="105">
        <f>IF('costs-benefits results'!$G$6&gt;=V$38,V56*V54,"")</f>
        <v>51870525.821302146</v>
      </c>
      <c r="W62" s="105">
        <f>IF('costs-benefits results'!$G$6&gt;=W$38,W56*W54,"")</f>
        <v>50359733.807089463</v>
      </c>
      <c r="X62" s="105">
        <f>IF('costs-benefits results'!$G$6&gt;=X$38,X56*X54,"")</f>
        <v>48892945.443776175</v>
      </c>
      <c r="Y62" s="105">
        <f>IF('costs-benefits results'!$G$6&gt;=Y$38,Y56*Y54,"")</f>
        <v>47468879.071627356</v>
      </c>
      <c r="Z62" s="105">
        <f>IF('costs-benefits results'!$G$6&gt;=Z$38,Z56*Z54,"")</f>
        <v>46086290.360803261</v>
      </c>
      <c r="AA62" s="105">
        <f>IF('costs-benefits results'!$G$6&gt;=AA$38,AA56*AA54,"")</f>
        <v>44743971.224080838</v>
      </c>
      <c r="AB62" s="105">
        <f>IF('costs-benefits results'!$G$6&gt;=AB$38,AB56*AB54,"")</f>
        <v>43440748.76124353</v>
      </c>
      <c r="AC62" s="105">
        <f>IF('costs-benefits results'!$G$6&gt;=AC$38,AC56*AC54,"")</f>
        <v>42175484.234217025</v>
      </c>
      <c r="AD62" s="105">
        <f>IF('costs-benefits results'!$G$6&gt;=AD$38,AD56*AD54,"")</f>
        <v>40947072.072055362</v>
      </c>
      <c r="AE62" s="105">
        <f>IF('costs-benefits results'!$G$6&gt;=AE$38,AE56*AE54,"")</f>
        <v>39754438.904908121</v>
      </c>
      <c r="AF62" s="105">
        <f>IF('costs-benefits results'!$G$6&gt;=AF$38,AF56*AF54,"")</f>
        <v>38596542.626124389</v>
      </c>
      <c r="AG62" s="105">
        <f>IF('costs-benefits results'!$G$6&gt;=AG$38,AG56*AG54,"")</f>
        <v>37472371.481674165</v>
      </c>
      <c r="AH62" s="105">
        <f>IF('costs-benefits results'!$G$6&gt;=AH$38,AH56*AH54,"")</f>
        <v>36380943.186091423</v>
      </c>
    </row>
    <row r="63" spans="1:35" x14ac:dyDescent="0.2">
      <c r="A63" s="113" t="s">
        <v>92</v>
      </c>
      <c r="B63" s="113"/>
      <c r="C63" s="118">
        <f>SUM(D61:AH61)</f>
        <v>784108487.10039699</v>
      </c>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row>
    <row r="64" spans="1:35" x14ac:dyDescent="0.2">
      <c r="A64" s="113" t="s">
        <v>93</v>
      </c>
      <c r="B64" s="113"/>
      <c r="C64" s="119">
        <f>SUM(D62:AH62)</f>
        <v>1730838495.8663824</v>
      </c>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row>
    <row r="65" spans="1:35" x14ac:dyDescent="0.2">
      <c r="A65" s="113" t="s">
        <v>94</v>
      </c>
      <c r="B65" s="115"/>
      <c r="C65" s="120">
        <f>C64/C63</f>
        <v>2.2073967114766946</v>
      </c>
      <c r="D65" s="110"/>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row>
    <row r="66" spans="1:35" x14ac:dyDescent="0.2">
      <c r="A66" s="326" t="s">
        <v>319</v>
      </c>
      <c r="C66" s="327">
        <f>IRR(D55:AH55,40%)</f>
        <v>0.13861115045809758</v>
      </c>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row>
    <row r="67" spans="1:35" x14ac:dyDescent="0.2">
      <c r="B67" s="26"/>
      <c r="C67" s="30" t="s">
        <v>82</v>
      </c>
      <c r="D67" s="112">
        <v>0</v>
      </c>
      <c r="E67" s="112">
        <v>1</v>
      </c>
      <c r="F67" s="112">
        <v>2</v>
      </c>
      <c r="G67" s="112">
        <v>3</v>
      </c>
      <c r="H67" s="112">
        <v>4</v>
      </c>
      <c r="I67" s="112">
        <v>5</v>
      </c>
      <c r="J67" s="112">
        <v>6</v>
      </c>
      <c r="K67" s="112">
        <v>7</v>
      </c>
      <c r="L67" s="112">
        <v>8</v>
      </c>
      <c r="M67" s="112">
        <v>9</v>
      </c>
      <c r="N67" s="112">
        <v>10</v>
      </c>
      <c r="O67" s="112">
        <v>11</v>
      </c>
      <c r="P67" s="112">
        <v>12</v>
      </c>
      <c r="Q67" s="112">
        <v>13</v>
      </c>
      <c r="R67" s="112">
        <v>14</v>
      </c>
      <c r="S67" s="112">
        <v>15</v>
      </c>
      <c r="T67" s="112">
        <v>16</v>
      </c>
      <c r="U67" s="112">
        <v>17</v>
      </c>
      <c r="V67" s="112">
        <v>18</v>
      </c>
      <c r="W67" s="112">
        <v>19</v>
      </c>
      <c r="X67" s="112">
        <v>20</v>
      </c>
      <c r="Y67" s="112">
        <v>21</v>
      </c>
      <c r="Z67" s="112">
        <v>22</v>
      </c>
      <c r="AA67" s="112">
        <v>23</v>
      </c>
      <c r="AB67" s="112">
        <v>24</v>
      </c>
      <c r="AC67" s="112">
        <v>25</v>
      </c>
      <c r="AD67" s="112">
        <v>26</v>
      </c>
      <c r="AE67" s="112">
        <v>27</v>
      </c>
      <c r="AF67" s="112">
        <v>28</v>
      </c>
      <c r="AG67" s="112">
        <v>29</v>
      </c>
      <c r="AH67" s="112">
        <v>30</v>
      </c>
      <c r="AI67" s="27"/>
    </row>
    <row r="69" spans="1:35" x14ac:dyDescent="0.2">
      <c r="A69" s="24" t="s">
        <v>316</v>
      </c>
      <c r="C69" s="325">
        <f>SUM(E69:AH69)</f>
        <v>217380507.68559039</v>
      </c>
      <c r="E69" s="105">
        <f>IF('costs-benefits results'!$G$6&gt;=E$38,E56*E42,"")</f>
        <v>9966368.9320388343</v>
      </c>
      <c r="F69" s="105">
        <f>IF('costs-benefits results'!$G$6&gt;=F$38,F56*F42,"")</f>
        <v>9676086.3417852763</v>
      </c>
      <c r="G69" s="105">
        <f>IF('costs-benefits results'!$G$6&gt;=G$38,G56*G42,"")</f>
        <v>9394258.5842575505</v>
      </c>
      <c r="H69" s="105">
        <f>IF('costs-benefits results'!$G$6&gt;=H$38,H56*H42,"")</f>
        <v>9120639.4021917973</v>
      </c>
      <c r="I69" s="105">
        <f>IF('costs-benefits results'!$G$6&gt;=I$38,I56*I42,"")</f>
        <v>8854989.7108658236</v>
      </c>
      <c r="J69" s="105">
        <f>IF('costs-benefits results'!$G$6&gt;=J$38,J56*J42,"")</f>
        <v>8597077.3891901188</v>
      </c>
      <c r="K69" s="105">
        <f>IF('costs-benefits results'!$G$6&gt;=K$38,K56*K42,"")</f>
        <v>8346677.0768836103</v>
      </c>
      <c r="L69" s="105">
        <f>IF('costs-benefits results'!$G$6&gt;=L$38,L56*L42,"")</f>
        <v>8103569.9775569029</v>
      </c>
      <c r="M69" s="105">
        <f>IF('costs-benefits results'!$G$6&gt;=M$38,M56*M42,"")</f>
        <v>7867543.6675309744</v>
      </c>
      <c r="N69" s="105">
        <f>IF('costs-benefits results'!$G$6&gt;=N$38,N56*N42,"")</f>
        <v>7638391.9102242468</v>
      </c>
      <c r="O69" s="105">
        <f>IF('costs-benefits results'!$G$6&gt;=O$38,O56*O42,"")</f>
        <v>7415914.4759458704</v>
      </c>
      <c r="P69" s="105">
        <f>IF('costs-benefits results'!$G$6&gt;=P$38,P56*P42,"")</f>
        <v>7199916.9669377403</v>
      </c>
      <c r="Q69" s="105">
        <f>IF('costs-benefits results'!$G$6&gt;=Q$38,Q56*Q42,"")</f>
        <v>6990210.6475123689</v>
      </c>
      <c r="R69" s="105">
        <f>IF('costs-benefits results'!$G$6&gt;=R$38,R56*R42,"")</f>
        <v>6786612.2791382214</v>
      </c>
      <c r="S69" s="105">
        <f>IF('costs-benefits results'!$G$6&gt;=S$38,S56*S42,"")</f>
        <v>22763865.034725655</v>
      </c>
      <c r="T69" s="105">
        <f>IF('costs-benefits results'!$G$6&gt;=T$38,T56*T42,"")</f>
        <v>6397032.9711925928</v>
      </c>
      <c r="U69" s="105">
        <f>IF('costs-benefits results'!$G$6&gt;=U$38,U56*U42,"")</f>
        <v>6210711.622517081</v>
      </c>
      <c r="V69" s="105">
        <f>IF('costs-benefits results'!$G$6&gt;=V$38,V56*V42,"")</f>
        <v>6029817.1092398837</v>
      </c>
      <c r="W69" s="105">
        <f>IF('costs-benefits results'!$G$6&gt;=W$38,W56*W42,"")</f>
        <v>5854191.3681940623</v>
      </c>
      <c r="X69" s="105">
        <f>IF('costs-benefits results'!$G$6&gt;=X$38,X56*X42,"")</f>
        <v>5683680.9399942355</v>
      </c>
      <c r="Y69" s="105">
        <f>IF('costs-benefits results'!$G$6&gt;=Y$38,Y56*Y42,"")</f>
        <v>5518136.8349458603</v>
      </c>
      <c r="Z69" s="105">
        <f>IF('costs-benefits results'!$G$6&gt;=Z$38,Z56*Z42,"")</f>
        <v>5357414.4028600585</v>
      </c>
      <c r="AA69" s="105">
        <f>IF('costs-benefits results'!$G$6&gt;=AA$38,AA56*AA42,"")</f>
        <v>5201373.2066602502</v>
      </c>
      <c r="AB69" s="105">
        <f>IF('costs-benefits results'!$G$6&gt;=AB$38,AB56*AB42,"")</f>
        <v>5049876.8996701464</v>
      </c>
      <c r="AC69" s="105">
        <f>IF('costs-benefits results'!$G$6&gt;=AC$38,AC56*AC42,"")</f>
        <v>4902793.1064758701</v>
      </c>
      <c r="AD69" s="105">
        <f>IF('costs-benefits results'!$G$6&gt;=AD$38,AD56*AD42,"")</f>
        <v>4759993.3072581263</v>
      </c>
      <c r="AE69" s="105">
        <f>IF('costs-benefits results'!$G$6&gt;=AE$38,AE56*AE42,"")</f>
        <v>4621352.7254933268</v>
      </c>
      <c r="AF69" s="105">
        <f>IF('costs-benefits results'!$G$6&gt;=AF$38,AF56*AF42,"")</f>
        <v>4486750.2189255599</v>
      </c>
      <c r="AG69" s="105">
        <f>IF('costs-benefits results'!$G$6&gt;=AG$38,AG56*AG42,"")</f>
        <v>4356068.1737141367</v>
      </c>
      <c r="AH69" s="105">
        <f>IF('costs-benefits results'!$G$6&gt;=AH$38,AH56*AH42,"")</f>
        <v>4229192.4016642105</v>
      </c>
    </row>
    <row r="70" spans="1:35" x14ac:dyDescent="0.2">
      <c r="A70" s="24" t="s">
        <v>317</v>
      </c>
      <c r="C70" s="325">
        <f>SUM(E70:AH70)</f>
        <v>13824505.129993083</v>
      </c>
      <c r="E70" s="105">
        <f>IF('costs-benefits results'!$G$6&gt;=E$38,E56*E43,"")</f>
        <v>684772.82737988268</v>
      </c>
      <c r="F70" s="105">
        <f>IF('costs-benefits results'!$G$6&gt;=F$38,F56*F43,"")</f>
        <v>664827.98774745886</v>
      </c>
      <c r="G70" s="105">
        <f>IF('costs-benefits results'!$G$6&gt;=G$38,G56*G43,"")</f>
        <v>645464.06577423203</v>
      </c>
      <c r="H70" s="105">
        <f>IF('costs-benefits results'!$G$6&gt;=H$38,H56*H43,"")</f>
        <v>626664.14152838057</v>
      </c>
      <c r="I70" s="105">
        <f>IF('costs-benefits results'!$G$6&gt;=I$38,I56*I43,"")</f>
        <v>608411.78789163171</v>
      </c>
      <c r="J70" s="105">
        <f>IF('costs-benefits results'!$G$6&gt;=J$38,J56*J43,"")</f>
        <v>590691.05620546767</v>
      </c>
      <c r="K70" s="105">
        <f>IF('costs-benefits results'!$G$6&gt;=K$38,K56*K43,"")</f>
        <v>573486.46233540541</v>
      </c>
      <c r="L70" s="105">
        <f>IF('costs-benefits results'!$G$6&gt;=L$38,L56*L43,"")</f>
        <v>556782.97314117034</v>
      </c>
      <c r="M70" s="105">
        <f>IF('costs-benefits results'!$G$6&gt;=M$38,M56*M43,"")</f>
        <v>540565.99334094208</v>
      </c>
      <c r="N70" s="105">
        <f>IF('costs-benefits results'!$G$6&gt;=N$38,N56*N43,"")</f>
        <v>524821.35275819618</v>
      </c>
      <c r="O70" s="105">
        <f>IF('costs-benefits results'!$G$6&gt;=O$38,O56*O43,"")</f>
        <v>509535.29393999634</v>
      </c>
      <c r="P70" s="105">
        <f>IF('costs-benefits results'!$G$6&gt;=P$38,P56*P43,"")</f>
        <v>494694.46013591887</v>
      </c>
      <c r="Q70" s="105">
        <f>IF('costs-benefits results'!$G$6&gt;=Q$38,Q56*Q43,"")</f>
        <v>480285.88362710568</v>
      </c>
      <c r="R70" s="105">
        <f>IF('costs-benefits results'!$G$6&gt;=R$38,R56*R43,"")</f>
        <v>466296.97439524817</v>
      </c>
      <c r="S70" s="105">
        <f>IF('costs-benefits results'!$G$6&gt;=S$38,S56*S43,"")</f>
        <v>452715.50912160013</v>
      </c>
      <c r="T70" s="105">
        <f>IF('costs-benefits results'!$G$6&gt;=T$38,T56*T43,"")</f>
        <v>439529.62050640798</v>
      </c>
      <c r="U70" s="105">
        <f>IF('costs-benefits results'!$G$6&gt;=U$38,U56*U43,"")</f>
        <v>426727.78689942521</v>
      </c>
      <c r="V70" s="105">
        <f>IF('costs-benefits results'!$G$6&gt;=V$38,V56*V43,"")</f>
        <v>414298.82223245164</v>
      </c>
      <c r="W70" s="105">
        <f>IF('costs-benefits results'!$G$6&gt;=W$38,W56*W43,"")</f>
        <v>402231.8662450987</v>
      </c>
      <c r="X70" s="105">
        <f>IF('costs-benefits results'!$G$6&gt;=X$38,X56*X43,"")</f>
        <v>390516.37499524147</v>
      </c>
      <c r="Y70" s="105">
        <f>IF('costs-benefits results'!$G$6&gt;=Y$38,Y56*Y43,"")</f>
        <v>379142.11164586555</v>
      </c>
      <c r="Z70" s="105">
        <f>IF('costs-benefits results'!$G$6&gt;=Z$38,Z56*Z43,"")</f>
        <v>368099.13752025779</v>
      </c>
      <c r="AA70" s="105">
        <f>IF('costs-benefits results'!$G$6&gt;=AA$38,AA56*AA43,"")</f>
        <v>357377.80341772601</v>
      </c>
      <c r="AB70" s="105">
        <f>IF('costs-benefits results'!$G$6&gt;=AB$38,AB56*AB43,"")</f>
        <v>346968.74118225829</v>
      </c>
      <c r="AC70" s="105">
        <f>IF('costs-benefits results'!$G$6&gt;=AC$38,AC56*AC43,"")</f>
        <v>336862.8555167556</v>
      </c>
      <c r="AD70" s="105">
        <f>IF('costs-benefits results'!$G$6&gt;=AD$38,AD56*AD43,"")</f>
        <v>327051.31603568507</v>
      </c>
      <c r="AE70" s="105">
        <f>IF('costs-benefits results'!$G$6&gt;=AE$38,AE56*AE43,"")</f>
        <v>317525.54954920878</v>
      </c>
      <c r="AF70" s="105">
        <f>IF('costs-benefits results'!$G$6&gt;=AF$38,AF56*AF43,"")</f>
        <v>308277.23257204739</v>
      </c>
      <c r="AG70" s="105">
        <f>IF('costs-benefits results'!$G$6&gt;=AG$38,AG56*AG43,"")</f>
        <v>299298.28405053145</v>
      </c>
      <c r="AH70" s="105">
        <f>IF('costs-benefits results'!$G$6&gt;=AH$38,AH56*AH43,"")</f>
        <v>290580.85830148688</v>
      </c>
      <c r="AI70"/>
    </row>
    <row r="71" spans="1:35" x14ac:dyDescent="0.2">
      <c r="A71" s="24" t="s">
        <v>318</v>
      </c>
      <c r="C71" s="325">
        <f t="shared" ref="C71:C75" si="2">SUM(E71:AH71)</f>
        <v>14953474.284813546</v>
      </c>
      <c r="E71" s="105">
        <f>IF('costs-benefits results'!$G$6&gt;=E$38,E56*E44,"")</f>
        <v>630740.97087378637</v>
      </c>
      <c r="F71" s="105">
        <f>IF('costs-benefits results'!$G$6&gt;=F$38,F56*F44,"")</f>
        <v>626907.07005746814</v>
      </c>
      <c r="G71" s="105">
        <f>IF('costs-benefits results'!$G$6&gt;=G$38,G56*G44,"")</f>
        <v>615829.68299431691</v>
      </c>
      <c r="H71" s="105">
        <f>IF('costs-benefits results'!$G$6&gt;=H$38,H56*H44,"")</f>
        <v>604948.03228509694</v>
      </c>
      <c r="I71" s="105">
        <f>IF('costs-benefits results'!$G$6&gt;=I$38,I56*I44,"")</f>
        <v>594258.6592874378</v>
      </c>
      <c r="J71" s="105">
        <f>IF('costs-benefits results'!$G$6&gt;=J$38,J56*J44,"")</f>
        <v>583758.16647284431</v>
      </c>
      <c r="K71" s="105">
        <f>IF('costs-benefits results'!$G$6&gt;=K$38,K56*K44,"")</f>
        <v>573443.21634681942</v>
      </c>
      <c r="L71" s="105">
        <f>IF('costs-benefits results'!$G$6&gt;=L$38,L56*L44,"")</f>
        <v>563310.5303880698</v>
      </c>
      <c r="M71" s="105">
        <f>IF('costs-benefits results'!$G$6&gt;=M$38,M56*M44,"")</f>
        <v>553356.88800645538</v>
      </c>
      <c r="N71" s="105">
        <f>IF('costs-benefits results'!$G$6&gt;=N$38,N56*N44,"")</f>
        <v>543579.12551935099</v>
      </c>
      <c r="O71" s="105">
        <f>IF('costs-benefits results'!$G$6&gt;=O$38,O56*O44,"")</f>
        <v>533974.13514609647</v>
      </c>
      <c r="P71" s="105">
        <f>IF('costs-benefits results'!$G$6&gt;=P$38,P56*P44,"")</f>
        <v>524538.86402021407</v>
      </c>
      <c r="Q71" s="105">
        <f>IF('costs-benefits results'!$G$6&gt;=Q$38,Q56*Q44,"")</f>
        <v>515270.31321908016</v>
      </c>
      <c r="R71" s="105">
        <f>IF('costs-benefits results'!$G$6&gt;=R$38,R56*R44,"")</f>
        <v>506165.53681074304</v>
      </c>
      <c r="S71" s="105">
        <f>IF('costs-benefits results'!$G$6&gt;=S$38,S56*S44,"")</f>
        <v>497221.64091758232</v>
      </c>
      <c r="T71" s="105">
        <f>IF('costs-benefits results'!$G$6&gt;=T$38,T56*T44,"")</f>
        <v>488435.78279651445</v>
      </c>
      <c r="U71" s="105">
        <f>IF('costs-benefits results'!$G$6&gt;=U$38,U56*U44,"")</f>
        <v>479805.16993544984</v>
      </c>
      <c r="V71" s="105">
        <f>IF('costs-benefits results'!$G$6&gt;=V$38,V56*V44,"")</f>
        <v>471327.0591657167</v>
      </c>
      <c r="W71" s="105">
        <f>IF('costs-benefits results'!$G$6&gt;=W$38,W56*W44,"")</f>
        <v>462998.75579016708</v>
      </c>
      <c r="X71" s="105">
        <f>IF('costs-benefits results'!$G$6&gt;=X$38,X56*X44,"")</f>
        <v>454817.61272669036</v>
      </c>
      <c r="Y71" s="105">
        <f>IF('costs-benefits results'!$G$6&gt;=Y$38,Y56*Y44,"")</f>
        <v>446781.0296668596</v>
      </c>
      <c r="Z71" s="105">
        <f>IF('costs-benefits results'!$G$6&gt;=Z$38,Z56*Z44,"")</f>
        <v>438886.4522494452</v>
      </c>
      <c r="AA71" s="105">
        <f>IF('costs-benefits results'!$G$6&gt;=AA$38,AA56*AA44,"")</f>
        <v>431131.37124853267</v>
      </c>
      <c r="AB71" s="105">
        <f>IF('costs-benefits results'!$G$6&gt;=AB$38,AB56*AB44,"")</f>
        <v>423513.32177598588</v>
      </c>
      <c r="AC71" s="105">
        <f>IF('costs-benefits results'!$G$6&gt;=AC$38,AC56*AC44,"")</f>
        <v>416029.88249800238</v>
      </c>
      <c r="AD71" s="105">
        <f>IF('costs-benefits results'!$G$6&gt;=AD$38,AD56*AD44,"")</f>
        <v>408678.6748655134</v>
      </c>
      <c r="AE71" s="105">
        <f>IF('costs-benefits results'!$G$6&gt;=AE$38,AE56*AE44,"")</f>
        <v>401457.36235818116</v>
      </c>
      <c r="AF71" s="105">
        <f>IF('costs-benefits results'!$G$6&gt;=AF$38,AF56*AF44,"")</f>
        <v>394363.6497417551</v>
      </c>
      <c r="AG71" s="105">
        <f>IF('costs-benefits results'!$G$6&gt;=AG$38,AG56*AG44,"")</f>
        <v>387395.28233855113</v>
      </c>
      <c r="AH71" s="105">
        <f>IF('costs-benefits results'!$G$6&gt;=AH$38,AH56*AH44,"")</f>
        <v>380550.0453108215</v>
      </c>
    </row>
    <row r="72" spans="1:35" x14ac:dyDescent="0.2">
      <c r="C72" s="325"/>
      <c r="E72" s="325"/>
    </row>
    <row r="73" spans="1:35" x14ac:dyDescent="0.2">
      <c r="C73" s="325"/>
    </row>
    <row r="74" spans="1:35" x14ac:dyDescent="0.2">
      <c r="A74" s="24" t="s">
        <v>314</v>
      </c>
      <c r="C74" s="325">
        <f t="shared" si="2"/>
        <v>1546261139.6784248</v>
      </c>
      <c r="E74" s="105">
        <f>IF('costs-benefits results'!$G$6&gt;=E$38,E56*E47,"")</f>
        <v>76591357.341828018</v>
      </c>
      <c r="F74" s="105">
        <f>IF('costs-benefits results'!$G$6&gt;=F$38,F56*F47,"")</f>
        <v>74360541.108570889</v>
      </c>
      <c r="G74" s="105">
        <f>IF('costs-benefits results'!$G$6&gt;=G$38,G56*G47,"")</f>
        <v>72194700.105408639</v>
      </c>
      <c r="H74" s="105">
        <f>IF('costs-benefits results'!$G$6&gt;=H$38,H56*H47,"")</f>
        <v>70091941.849911302</v>
      </c>
      <c r="I74" s="105">
        <f>IF('costs-benefits results'!$G$6&gt;=I$38,I56*I47,"")</f>
        <v>68050428.980496407</v>
      </c>
      <c r="J74" s="105">
        <f>IF('costs-benefits results'!$G$6&gt;=J$38,J56*J47,"")</f>
        <v>66068377.650967389</v>
      </c>
      <c r="K74" s="105">
        <f>IF('costs-benefits results'!$G$6&gt;=K$38,K56*K47,"")</f>
        <v>64144055.971812993</v>
      </c>
      <c r="L74" s="105">
        <f>IF('costs-benefits results'!$G$6&gt;=L$38,L56*L47,"")</f>
        <v>62275782.496905819</v>
      </c>
      <c r="M74" s="105">
        <f>IF('costs-benefits results'!$G$6&gt;=M$38,M56*M47,"")</f>
        <v>60461924.754277498</v>
      </c>
      <c r="N74" s="105">
        <f>IF('costs-benefits results'!$G$6&gt;=N$38,N56*N47,"")</f>
        <v>58700897.81968689</v>
      </c>
      <c r="O74" s="105">
        <f>IF('costs-benefits results'!$G$6&gt;=O$38,O56*O47,"")</f>
        <v>56991162.931734845</v>
      </c>
      <c r="P74" s="105">
        <f>IF('costs-benefits results'!$G$6&gt;=P$38,P56*P47,"")</f>
        <v>55331226.14731539</v>
      </c>
      <c r="Q74" s="105">
        <f>IF('costs-benefits results'!$G$6&gt;=Q$38,Q56*Q47,"")</f>
        <v>53719637.036228538</v>
      </c>
      <c r="R74" s="105">
        <f>IF('costs-benefits results'!$G$6&gt;=R$38,R56*R47,"")</f>
        <v>52154987.413814105</v>
      </c>
      <c r="S74" s="105">
        <f>IF('costs-benefits results'!$G$6&gt;=S$38,S56*S47,"")</f>
        <v>50635910.110499129</v>
      </c>
      <c r="T74" s="105">
        <f>IF('costs-benefits results'!$G$6&gt;=T$38,T56*T47,"")</f>
        <v>49161077.77718363</v>
      </c>
      <c r="U74" s="105">
        <f>IF('costs-benefits results'!$G$6&gt;=U$38,U56*U47,"")</f>
        <v>47729201.725420997</v>
      </c>
      <c r="V74" s="105">
        <f>IF('costs-benefits results'!$G$6&gt;=V$38,V56*V47,"")</f>
        <v>46339030.801379606</v>
      </c>
      <c r="W74" s="105">
        <f>IF('costs-benefits results'!$G$6&gt;=W$38,W56*W47,"")</f>
        <v>44989350.292601563</v>
      </c>
      <c r="X74" s="105">
        <f>IF('costs-benefits results'!$G$6&gt;=X$38,X56*X47,"")</f>
        <v>43678980.866603464</v>
      </c>
      <c r="Y74" s="105">
        <f>IF('costs-benefits results'!$G$6&gt;=Y$38,Y56*Y47,"")</f>
        <v>42406777.540391713</v>
      </c>
      <c r="Z74" s="105">
        <f>IF('costs-benefits results'!$G$6&gt;=Z$38,Z56*Z47,"")</f>
        <v>41171628.679991953</v>
      </c>
      <c r="AA74" s="105">
        <f>IF('costs-benefits results'!$G$6&gt;=AA$38,AA56*AA47,"")</f>
        <v>39972455.029118396</v>
      </c>
      <c r="AB74" s="105">
        <f>IF('costs-benefits results'!$G$6&gt;=AB$38,AB56*AB47,"")</f>
        <v>38808208.766134374</v>
      </c>
      <c r="AC74" s="105">
        <f>IF('costs-benefits results'!$G$6&gt;=AC$38,AC56*AC47,"")</f>
        <v>37677872.588479973</v>
      </c>
      <c r="AD74" s="105">
        <f>IF('costs-benefits results'!$G$6&gt;=AD$38,AD56*AD47,"")</f>
        <v>36580458.823766962</v>
      </c>
      <c r="AE74" s="105">
        <f>IF('costs-benefits results'!$G$6&gt;=AE$38,AE56*AE47,"")</f>
        <v>35515008.566764042</v>
      </c>
      <c r="AF74" s="105">
        <f>IF('costs-benefits results'!$G$6&gt;=AF$38,AF56*AF47,"")</f>
        <v>34480590.841518492</v>
      </c>
      <c r="AG74" s="105">
        <f>IF('costs-benefits results'!$G$6&gt;=AG$38,AG56*AG47,"")</f>
        <v>33476301.78788203</v>
      </c>
      <c r="AH74" s="105">
        <f>IF('costs-benefits results'!$G$6&gt;=AH$38,AH56*AH47,"")</f>
        <v>32501263.871730126</v>
      </c>
    </row>
    <row r="75" spans="1:35" x14ac:dyDescent="0.2">
      <c r="A75" s="24" t="s">
        <v>315</v>
      </c>
      <c r="C75" s="325">
        <f t="shared" si="2"/>
        <v>184577356.18795693</v>
      </c>
      <c r="E75" s="105">
        <f>IF('costs-benefits results'!$G$6&gt;=E$38,E56*E48,"")</f>
        <v>9142718.4466019422</v>
      </c>
      <c r="F75" s="105">
        <f>IF('costs-benefits results'!$G$6&gt;=F$38,F56*F48,"")</f>
        <v>8876425.6763125639</v>
      </c>
      <c r="G75" s="105">
        <f>IF('costs-benefits results'!$G$6&gt;=G$38,G56*G48,"")</f>
        <v>8617889.0061287042</v>
      </c>
      <c r="H75" s="105">
        <f>IF('costs-benefits results'!$G$6&gt;=H$38,H56*H48,"")</f>
        <v>8366882.5302220434</v>
      </c>
      <c r="I75" s="105">
        <f>IF('costs-benefits results'!$G$6&gt;=I$38,I56*I48,"")</f>
        <v>8123186.9225456733</v>
      </c>
      <c r="J75" s="105">
        <f>IF('costs-benefits results'!$G$6&gt;=J$38,J56*J48,"")</f>
        <v>7886589.2451899741</v>
      </c>
      <c r="K75" s="105">
        <f>IF('costs-benefits results'!$G$6&gt;=K$38,K56*K48,"")</f>
        <v>7656882.762320363</v>
      </c>
      <c r="L75" s="105">
        <f>IF('costs-benefits results'!$G$6&gt;=L$38,L56*L48,"")</f>
        <v>7433866.7595343329</v>
      </c>
      <c r="M75" s="105">
        <f>IF('costs-benefits results'!$G$6&gt;=M$38,M56*M48,"")</f>
        <v>7217346.3684799345</v>
      </c>
      <c r="N75" s="105">
        <f>IF('costs-benefits results'!$G$6&gt;=N$38,N56*N48,"")</f>
        <v>7007132.396582461</v>
      </c>
      <c r="O75" s="105">
        <f>IF('costs-benefits results'!$G$6&gt;=O$38,O56*O48,"")</f>
        <v>6803041.1617305446</v>
      </c>
      <c r="P75" s="105">
        <f>IF('costs-benefits results'!$G$6&gt;=P$38,P56*P48,"")</f>
        <v>6604894.331777229</v>
      </c>
      <c r="Q75" s="105">
        <f>IF('costs-benefits results'!$G$6&gt;=Q$38,Q56*Q48,"")</f>
        <v>6412518.768715756</v>
      </c>
      <c r="R75" s="105">
        <f>IF('costs-benefits results'!$G$6&gt;=R$38,R56*R48,"")</f>
        <v>6225746.3773939377</v>
      </c>
      <c r="S75" s="105">
        <f>IF('costs-benefits results'!$G$6&gt;=S$38,S56*S48,"")</f>
        <v>6044413.9586348897</v>
      </c>
      <c r="T75" s="105">
        <f>IF('costs-benefits results'!$G$6&gt;=T$38,T56*T48,"")</f>
        <v>5868363.0666358164</v>
      </c>
      <c r="U75" s="105">
        <f>IF('costs-benefits results'!$G$6&gt;=U$38,U56*U48,"")</f>
        <v>5697439.8705202108</v>
      </c>
      <c r="V75" s="105">
        <f>IF('costs-benefits results'!$G$6&gt;=V$38,V56*V48,"")</f>
        <v>5531495.019922534</v>
      </c>
      <c r="W75" s="105">
        <f>IF('costs-benefits results'!$G$6&gt;=W$38,W56*W48,"")</f>
        <v>5370383.514487897</v>
      </c>
      <c r="X75" s="105">
        <f>IF('costs-benefits results'!$G$6&gt;=X$38,X56*X48,"")</f>
        <v>5213964.5771727161</v>
      </c>
      <c r="Y75" s="105">
        <f>IF('costs-benefits results'!$G$6&gt;=Y$38,Y56*Y48,"")</f>
        <v>5062101.5312356474</v>
      </c>
      <c r="Z75" s="105">
        <f>IF('costs-benefits results'!$G$6&gt;=Z$38,Z56*Z48,"")</f>
        <v>4914661.6808113083</v>
      </c>
      <c r="AA75" s="105">
        <f>IF('costs-benefits results'!$G$6&gt;=AA$38,AA56*AA48,"")</f>
        <v>4771516.1949624345</v>
      </c>
      <c r="AB75" s="105">
        <f>IF('costs-benefits results'!$G$6&gt;=AB$38,AB56*AB48,"")</f>
        <v>4632539.9951091604</v>
      </c>
      <c r="AC75" s="105">
        <f>IF('costs-benefits results'!$G$6&gt;=AC$38,AC56*AC48,"")</f>
        <v>4497611.6457370492</v>
      </c>
      <c r="AD75" s="105">
        <f>IF('costs-benefits results'!$G$6&gt;=AD$38,AD56*AD48,"")</f>
        <v>4366613.2482883967</v>
      </c>
      <c r="AE75" s="105">
        <f>IF('costs-benefits results'!$G$6&gt;=AE$38,AE56*AE48,"")</f>
        <v>4239430.3381440751</v>
      </c>
      <c r="AF75" s="105">
        <f>IF('costs-benefits results'!$G$6&gt;=AF$38,AF56*AF48,"")</f>
        <v>4115951.784605898</v>
      </c>
      <c r="AG75" s="105">
        <f>IF('costs-benefits results'!$G$6&gt;=AG$38,AG56*AG48,"")</f>
        <v>3996069.6937921341</v>
      </c>
      <c r="AH75" s="105">
        <f>IF('costs-benefits results'!$G$6&gt;=AH$38,AH56*AH48,"")</f>
        <v>3879679.3143612952</v>
      </c>
    </row>
    <row r="79" spans="1:35" ht="15" x14ac:dyDescent="0.2">
      <c r="A79"/>
      <c r="B79" t="s">
        <v>228</v>
      </c>
      <c r="C79" s="209">
        <v>0</v>
      </c>
      <c r="D79" s="209">
        <v>1</v>
      </c>
      <c r="E79" s="209">
        <v>2</v>
      </c>
      <c r="F79" s="209">
        <v>3</v>
      </c>
      <c r="G79" s="209">
        <v>4</v>
      </c>
      <c r="H79" s="209">
        <v>5</v>
      </c>
      <c r="I79" s="209">
        <v>6</v>
      </c>
      <c r="J79" s="209">
        <v>7</v>
      </c>
      <c r="K79" s="209">
        <v>8</v>
      </c>
      <c r="L79" s="209">
        <v>9</v>
      </c>
      <c r="M79" s="209">
        <v>10</v>
      </c>
      <c r="N79" s="209">
        <v>11</v>
      </c>
      <c r="O79" s="209">
        <v>12</v>
      </c>
      <c r="P79" s="209">
        <v>13</v>
      </c>
      <c r="Q79" s="209">
        <v>14</v>
      </c>
      <c r="R79" s="209">
        <v>15</v>
      </c>
      <c r="S79" s="209">
        <v>16</v>
      </c>
      <c r="T79" s="209">
        <v>17</v>
      </c>
      <c r="U79" s="209">
        <v>18</v>
      </c>
      <c r="V79" s="209">
        <v>19</v>
      </c>
      <c r="W79" s="209">
        <v>20</v>
      </c>
      <c r="X79" s="209">
        <v>21</v>
      </c>
      <c r="Y79" s="209">
        <v>22</v>
      </c>
      <c r="Z79" s="209">
        <v>23</v>
      </c>
      <c r="AA79" s="209">
        <v>24</v>
      </c>
      <c r="AB79" s="209">
        <v>25</v>
      </c>
      <c r="AC79" s="209">
        <v>26</v>
      </c>
      <c r="AD79" s="209">
        <v>27</v>
      </c>
      <c r="AE79" s="209">
        <v>28</v>
      </c>
      <c r="AF79" s="209">
        <v>29</v>
      </c>
      <c r="AG79" s="209">
        <v>30</v>
      </c>
    </row>
    <row r="80" spans="1:35" x14ac:dyDescent="0.2">
      <c r="A80" s="477" t="s">
        <v>333</v>
      </c>
      <c r="B80" s="478"/>
      <c r="C80"/>
      <c r="D80"/>
      <c r="E80"/>
      <c r="F80"/>
      <c r="G80"/>
      <c r="H80"/>
      <c r="I80"/>
      <c r="J80"/>
      <c r="K80"/>
      <c r="L80"/>
      <c r="M80"/>
      <c r="N80"/>
      <c r="O80"/>
      <c r="P80"/>
      <c r="Q80"/>
      <c r="R80"/>
      <c r="S80"/>
      <c r="T80"/>
      <c r="U80"/>
      <c r="V80"/>
      <c r="W80"/>
      <c r="X80"/>
      <c r="Y80"/>
      <c r="Z80"/>
      <c r="AA80"/>
      <c r="AB80"/>
      <c r="AC80"/>
      <c r="AD80"/>
      <c r="AE80"/>
      <c r="AF80"/>
      <c r="AG80"/>
    </row>
    <row r="81" spans="1:33" x14ac:dyDescent="0.2">
      <c r="A81" s="207" t="str">
        <f>inputdata!A37</f>
        <v>local wells</v>
      </c>
      <c r="B81" s="207" t="str">
        <f>inputdata!B37</f>
        <v>GW</v>
      </c>
      <c r="C81" s="236">
        <f>'inputdata(costs-benefits) '!D34</f>
        <v>0</v>
      </c>
      <c r="D81" s="236">
        <f>'inputdata(costs-benefits) '!$E$34</f>
        <v>0</v>
      </c>
      <c r="E81" s="236">
        <f>'inputdata(costs-benefits) '!$E$34</f>
        <v>0</v>
      </c>
      <c r="F81" s="236">
        <f>'inputdata(costs-benefits) '!$E$34</f>
        <v>0</v>
      </c>
      <c r="G81" s="236">
        <f>'inputdata(costs-benefits) '!$E$34</f>
        <v>0</v>
      </c>
      <c r="H81" s="236">
        <f>'inputdata(costs-benefits) '!$E$34</f>
        <v>0</v>
      </c>
      <c r="I81" s="236">
        <f>'inputdata(costs-benefits) '!$E$34</f>
        <v>0</v>
      </c>
      <c r="J81" s="236">
        <f>'inputdata(costs-benefits) '!$E$34</f>
        <v>0</v>
      </c>
      <c r="K81" s="236">
        <f>'inputdata(costs-benefits) '!$E$34</f>
        <v>0</v>
      </c>
      <c r="L81" s="236">
        <f>'inputdata(costs-benefits) '!$E$34</f>
        <v>0</v>
      </c>
      <c r="M81" s="236">
        <f>'inputdata(costs-benefits) '!$E$34</f>
        <v>0</v>
      </c>
      <c r="N81" s="236">
        <f>'inputdata(costs-benefits) '!$E$34</f>
        <v>0</v>
      </c>
      <c r="O81" s="236">
        <f>'inputdata(costs-benefits) '!$E$34</f>
        <v>0</v>
      </c>
      <c r="P81" s="236">
        <f>'inputdata(costs-benefits) '!$E$34</f>
        <v>0</v>
      </c>
      <c r="Q81" s="236">
        <f>'inputdata(costs-benefits) '!$E$34</f>
        <v>0</v>
      </c>
      <c r="R81" s="236">
        <f>'inputdata(costs-benefits) '!$E$34</f>
        <v>0</v>
      </c>
      <c r="S81" s="236">
        <f>'inputdata(costs-benefits) '!$E$34</f>
        <v>0</v>
      </c>
      <c r="T81" s="236">
        <f>'inputdata(costs-benefits) '!$E$34</f>
        <v>0</v>
      </c>
      <c r="U81" s="236">
        <f>'inputdata(costs-benefits) '!$E$34</f>
        <v>0</v>
      </c>
      <c r="V81" s="236">
        <f>'inputdata(costs-benefits) '!$E$34</f>
        <v>0</v>
      </c>
      <c r="W81" s="236">
        <f>'inputdata(costs-benefits) '!$E$34</f>
        <v>0</v>
      </c>
      <c r="X81" s="236">
        <f>'inputdata(costs-benefits) '!$E$34</f>
        <v>0</v>
      </c>
      <c r="Y81" s="236">
        <f>'inputdata(costs-benefits) '!$E$34</f>
        <v>0</v>
      </c>
      <c r="Z81" s="236">
        <f>'inputdata(costs-benefits) '!$E$34</f>
        <v>0</v>
      </c>
      <c r="AA81" s="236">
        <f>'inputdata(costs-benefits) '!$E$34</f>
        <v>0</v>
      </c>
      <c r="AB81" s="236">
        <f>'inputdata(costs-benefits) '!$E$34</f>
        <v>0</v>
      </c>
      <c r="AC81" s="236">
        <f>'inputdata(costs-benefits) '!$E$34</f>
        <v>0</v>
      </c>
      <c r="AD81" s="236">
        <f>'inputdata(costs-benefits) '!$E$34</f>
        <v>0</v>
      </c>
      <c r="AE81" s="236">
        <f>'inputdata(costs-benefits) '!$E$34</f>
        <v>0</v>
      </c>
      <c r="AF81" s="236">
        <f>'inputdata(costs-benefits) '!$E$34</f>
        <v>0</v>
      </c>
      <c r="AG81" s="236">
        <f>'inputdata(costs-benefits) '!$E$34</f>
        <v>0</v>
      </c>
    </row>
    <row r="82" spans="1:33" x14ac:dyDescent="0.2">
      <c r="A82" s="207" t="str">
        <f>inputdata!A38</f>
        <v>Man made River supply</v>
      </c>
      <c r="B82" s="207" t="str">
        <f>inputdata!B38</f>
        <v>MMR</v>
      </c>
      <c r="C82" s="236">
        <f>'inputdata(costs-benefits) '!$D$37</f>
        <v>79251545.447999999</v>
      </c>
      <c r="D82" s="236">
        <f>'inputdata(costs-benefits) '!$E$37</f>
        <v>11002030.909</v>
      </c>
      <c r="E82" s="236">
        <f>'inputdata(costs-benefits) '!$E$37</f>
        <v>11002030.909</v>
      </c>
      <c r="F82" s="236">
        <f>'inputdata(costs-benefits) '!$E$37</f>
        <v>11002030.909</v>
      </c>
      <c r="G82" s="236">
        <f>'inputdata(costs-benefits) '!$E$37</f>
        <v>11002030.909</v>
      </c>
      <c r="H82" s="236">
        <f>'inputdata(costs-benefits) '!$E$37</f>
        <v>11002030.909</v>
      </c>
      <c r="I82" s="236">
        <f>'inputdata(costs-benefits) '!$E$37</f>
        <v>11002030.909</v>
      </c>
      <c r="J82" s="236">
        <f>'inputdata(costs-benefits) '!$E$37</f>
        <v>11002030.909</v>
      </c>
      <c r="K82" s="236">
        <f>'inputdata(costs-benefits) '!$E$37</f>
        <v>11002030.909</v>
      </c>
      <c r="L82" s="236">
        <f>'inputdata(costs-benefits) '!$E$37</f>
        <v>11002030.909</v>
      </c>
      <c r="M82" s="236">
        <f>'inputdata(costs-benefits) '!$E$37</f>
        <v>11002030.909</v>
      </c>
      <c r="N82" s="236">
        <f>'inputdata(costs-benefits) '!$E$37</f>
        <v>11002030.909</v>
      </c>
      <c r="O82" s="236">
        <f>'inputdata(costs-benefits) '!$E$37</f>
        <v>11002030.909</v>
      </c>
      <c r="P82" s="236">
        <f>'inputdata(costs-benefits) '!$E$37</f>
        <v>11002030.909</v>
      </c>
      <c r="Q82" s="236">
        <f>'inputdata(costs-benefits) '!$E$37</f>
        <v>11002030.909</v>
      </c>
      <c r="R82" s="236">
        <f>'inputdata(costs-benefits) '!$E$37</f>
        <v>11002030.909</v>
      </c>
      <c r="S82" s="236">
        <f>'inputdata(costs-benefits) '!$E$37</f>
        <v>11002030.909</v>
      </c>
      <c r="T82" s="236">
        <f>'inputdata(costs-benefits) '!$E$37</f>
        <v>11002030.909</v>
      </c>
      <c r="U82" s="236">
        <f>'inputdata(costs-benefits) '!$E$37</f>
        <v>11002030.909</v>
      </c>
      <c r="V82" s="236">
        <f>'inputdata(costs-benefits) '!$E$37</f>
        <v>11002030.909</v>
      </c>
      <c r="W82" s="236">
        <f>'inputdata(costs-benefits) '!$E$37</f>
        <v>11002030.909</v>
      </c>
      <c r="X82" s="236">
        <f>'inputdata(costs-benefits) '!$E$37</f>
        <v>11002030.909</v>
      </c>
      <c r="Y82" s="236">
        <f>'inputdata(costs-benefits) '!$E$37</f>
        <v>11002030.909</v>
      </c>
      <c r="Z82" s="236">
        <f>'inputdata(costs-benefits) '!$E$37</f>
        <v>11002030.909</v>
      </c>
      <c r="AA82" s="236">
        <f>'inputdata(costs-benefits) '!$E$37</f>
        <v>11002030.909</v>
      </c>
      <c r="AB82" s="236">
        <f>'inputdata(costs-benefits) '!$E$37</f>
        <v>11002030.909</v>
      </c>
      <c r="AC82" s="236">
        <f>'inputdata(costs-benefits) '!$E$37</f>
        <v>11002030.909</v>
      </c>
      <c r="AD82" s="236">
        <f>'inputdata(costs-benefits) '!$E$37</f>
        <v>11002030.909</v>
      </c>
      <c r="AE82" s="236">
        <f>'inputdata(costs-benefits) '!$E$37</f>
        <v>11002030.909</v>
      </c>
      <c r="AF82" s="236">
        <f>'inputdata(costs-benefits) '!$E$37</f>
        <v>11002030.909</v>
      </c>
      <c r="AG82" s="236">
        <f>'inputdata(costs-benefits) '!$E$37</f>
        <v>11002030.909</v>
      </c>
    </row>
    <row r="83" spans="1:33" x14ac:dyDescent="0.2">
      <c r="A83" s="352" t="str">
        <f>inputdata!A39</f>
        <v xml:space="preserve">conventional activated sludge </v>
      </c>
      <c r="B83" s="352" t="str">
        <f>inputdata!B39</f>
        <v>T1</v>
      </c>
      <c r="C83" s="236"/>
      <c r="D83" s="236"/>
      <c r="E83" s="236"/>
      <c r="F83" s="236"/>
      <c r="G83" s="236"/>
      <c r="H83" s="236"/>
      <c r="I83" s="236"/>
      <c r="J83" s="236"/>
      <c r="K83" s="236"/>
      <c r="L83" s="236"/>
      <c r="M83" s="236"/>
      <c r="N83" s="236"/>
      <c r="O83" s="236"/>
      <c r="P83" s="236"/>
      <c r="Q83" s="236"/>
      <c r="R83" s="236"/>
      <c r="S83" s="236"/>
      <c r="T83" s="236"/>
      <c r="U83" s="236"/>
      <c r="V83" s="236"/>
      <c r="W83" s="236"/>
      <c r="X83" s="236"/>
      <c r="Y83" s="236"/>
      <c r="Z83" s="236"/>
      <c r="AA83" s="236"/>
      <c r="AB83" s="236"/>
      <c r="AC83" s="236"/>
      <c r="AD83" s="236"/>
      <c r="AE83" s="236"/>
      <c r="AF83" s="236"/>
      <c r="AG83" s="236"/>
    </row>
    <row r="84" spans="1:33" x14ac:dyDescent="0.2">
      <c r="A84" s="352" t="str">
        <f>inputdata!A40</f>
        <v>on site( Three-tank system )</v>
      </c>
      <c r="B84" s="352" t="str">
        <f>inputdata!B40</f>
        <v>T2</v>
      </c>
      <c r="C84" s="236"/>
      <c r="D84" s="236"/>
      <c r="E84" s="236"/>
      <c r="F84" s="236"/>
      <c r="G84" s="236"/>
      <c r="H84" s="236"/>
      <c r="I84" s="236"/>
      <c r="J84" s="236"/>
      <c r="K84" s="236"/>
      <c r="L84" s="236"/>
      <c r="M84" s="236"/>
      <c r="N84" s="236"/>
      <c r="O84" s="236"/>
      <c r="P84" s="236"/>
      <c r="Q84" s="236"/>
      <c r="R84" s="236"/>
      <c r="S84" s="236"/>
      <c r="T84" s="236"/>
      <c r="U84" s="236"/>
      <c r="V84" s="236"/>
      <c r="W84" s="236"/>
      <c r="X84" s="236"/>
      <c r="Y84" s="236"/>
      <c r="Z84" s="236"/>
      <c r="AA84" s="236"/>
      <c r="AB84" s="236"/>
      <c r="AC84" s="236"/>
      <c r="AD84" s="236"/>
      <c r="AE84" s="236"/>
      <c r="AF84" s="236"/>
      <c r="AG84" s="236"/>
    </row>
    <row r="85" spans="1:33" ht="25.5" x14ac:dyDescent="0.2">
      <c r="A85" s="352" t="str">
        <f>inputdata!A41</f>
        <v>on site(Three-tank system +sand Filter)</v>
      </c>
      <c r="B85" s="352" t="str">
        <f>inputdata!B41</f>
        <v>T3</v>
      </c>
      <c r="C85" s="236"/>
      <c r="D85" s="236"/>
      <c r="E85" s="236"/>
      <c r="F85" s="236"/>
      <c r="G85" s="236"/>
      <c r="H85" s="236"/>
      <c r="I85" s="236"/>
      <c r="J85" s="236"/>
      <c r="K85" s="236"/>
      <c r="L85" s="236"/>
      <c r="M85" s="236"/>
      <c r="N85" s="236"/>
      <c r="O85" s="236"/>
      <c r="P85" s="236"/>
      <c r="Q85" s="236"/>
      <c r="R85" s="236"/>
      <c r="S85" s="236"/>
      <c r="T85" s="236"/>
      <c r="U85" s="236"/>
      <c r="V85" s="236"/>
      <c r="W85" s="236"/>
      <c r="X85" s="236"/>
      <c r="Y85" s="236"/>
      <c r="Z85" s="236"/>
      <c r="AA85" s="236"/>
      <c r="AB85" s="236"/>
      <c r="AC85" s="236"/>
      <c r="AD85" s="236"/>
      <c r="AE85" s="236"/>
      <c r="AF85" s="236"/>
      <c r="AG85" s="236"/>
    </row>
    <row r="86" spans="1:33" x14ac:dyDescent="0.2">
      <c r="A86" s="352" t="str">
        <f>inputdata!A42</f>
        <v>septic tank+   (WSP)</v>
      </c>
      <c r="B86" s="352" t="str">
        <f>inputdata!B42</f>
        <v>T4</v>
      </c>
      <c r="C86" s="236">
        <f>'inputdata(costs-benefits) '!D49</f>
        <v>537950000</v>
      </c>
      <c r="D86" s="236">
        <f>'inputdata(costs-benefits) '!$E$49</f>
        <v>10265360</v>
      </c>
      <c r="E86" s="236">
        <f>'inputdata(costs-benefits) '!$E$49</f>
        <v>10265360</v>
      </c>
      <c r="F86" s="236">
        <f>'inputdata(costs-benefits) '!$E$49</f>
        <v>10265360</v>
      </c>
      <c r="G86" s="236">
        <f>'inputdata(costs-benefits) '!$E$49</f>
        <v>10265360</v>
      </c>
      <c r="H86" s="236">
        <f>'inputdata(costs-benefits) '!$E$49</f>
        <v>10265360</v>
      </c>
      <c r="I86" s="236">
        <f>'inputdata(costs-benefits) '!$E$49</f>
        <v>10265360</v>
      </c>
      <c r="J86" s="236">
        <f>'inputdata(costs-benefits) '!$E$49</f>
        <v>10265360</v>
      </c>
      <c r="K86" s="236">
        <f>'inputdata(costs-benefits) '!$E$49</f>
        <v>10265360</v>
      </c>
      <c r="L86" s="236">
        <f>'inputdata(costs-benefits) '!$E$49</f>
        <v>10265360</v>
      </c>
      <c r="M86" s="236">
        <f>'inputdata(costs-benefits) '!$E$49</f>
        <v>10265360</v>
      </c>
      <c r="N86" s="236">
        <f>'inputdata(costs-benefits) '!$E$49</f>
        <v>10265360</v>
      </c>
      <c r="O86" s="236">
        <f>'inputdata(costs-benefits) '!$E$49</f>
        <v>10265360</v>
      </c>
      <c r="P86" s="236">
        <f>'inputdata(costs-benefits) '!$E$49</f>
        <v>10265360</v>
      </c>
      <c r="Q86" s="236">
        <f>'inputdata(costs-benefits) '!$E$49</f>
        <v>10265360</v>
      </c>
      <c r="R86" s="236">
        <f>'inputdata(costs-benefits) '!$E$49+'inputdata(costs-benefits) '!$S$44</f>
        <v>35465360</v>
      </c>
      <c r="S86" s="236">
        <f>'inputdata(costs-benefits) '!$E$49</f>
        <v>10265360</v>
      </c>
      <c r="T86" s="236">
        <f>'inputdata(costs-benefits) '!$E$49</f>
        <v>10265360</v>
      </c>
      <c r="U86" s="236">
        <f>'inputdata(costs-benefits) '!$E$49</f>
        <v>10265360</v>
      </c>
      <c r="V86" s="236">
        <f>'inputdata(costs-benefits) '!$E$49</f>
        <v>10265360</v>
      </c>
      <c r="W86" s="236">
        <f>'inputdata(costs-benefits) '!$E$49</f>
        <v>10265360</v>
      </c>
      <c r="X86" s="236">
        <f>'inputdata(costs-benefits) '!$E$49</f>
        <v>10265360</v>
      </c>
      <c r="Y86" s="236">
        <f>'inputdata(costs-benefits) '!$E$49</f>
        <v>10265360</v>
      </c>
      <c r="Z86" s="236">
        <f>'inputdata(costs-benefits) '!$E$49</f>
        <v>10265360</v>
      </c>
      <c r="AA86" s="236">
        <f>'inputdata(costs-benefits) '!$E$49</f>
        <v>10265360</v>
      </c>
      <c r="AB86" s="236">
        <f>'inputdata(costs-benefits) '!$E$49</f>
        <v>10265360</v>
      </c>
      <c r="AC86" s="236">
        <f>'inputdata(costs-benefits) '!$E$49</f>
        <v>10265360</v>
      </c>
      <c r="AD86" s="236">
        <f>'inputdata(costs-benefits) '!$E$49</f>
        <v>10265360</v>
      </c>
      <c r="AE86" s="236">
        <f>'inputdata(costs-benefits) '!$E$49</f>
        <v>10265360</v>
      </c>
      <c r="AF86" s="236">
        <f>'inputdata(costs-benefits) '!$E$49</f>
        <v>10265360</v>
      </c>
      <c r="AG86" s="236">
        <f>'inputdata(costs-benefits) '!$E$49</f>
        <v>10265360</v>
      </c>
    </row>
    <row r="87" spans="1:33" x14ac:dyDescent="0.2">
      <c r="A87" s="352" t="str">
        <f>inputdata!A43</f>
        <v>treatment plant  (WSP)</v>
      </c>
      <c r="B87" s="352" t="str">
        <f>inputdata!B43</f>
        <v>T5</v>
      </c>
      <c r="C87" s="236">
        <f>'inputdata(costs-benefits) '!D53</f>
        <v>396161372.39999998</v>
      </c>
      <c r="D87" s="236">
        <f>'inputdata(costs-benefits) '!E53</f>
        <v>9112556.4390303027</v>
      </c>
      <c r="E87" s="236">
        <f>'inputdata(costs-benefits) '!F53</f>
        <v>9131381.3211244605</v>
      </c>
      <c r="F87" s="236">
        <f>'inputdata(costs-benefits) '!G53</f>
        <v>9150428.3368273284</v>
      </c>
      <c r="G87" s="236">
        <f>'inputdata(costs-benefits) '!H53</f>
        <v>9169700.1073154919</v>
      </c>
      <c r="H87" s="236">
        <f>'inputdata(costs-benefits) '!I53</f>
        <v>9189199.2846954148</v>
      </c>
      <c r="I87" s="236">
        <f>'inputdata(costs-benefits) '!J53</f>
        <v>9208928.5523684192</v>
      </c>
      <c r="J87" s="236">
        <f>'inputdata(costs-benefits) '!K53</f>
        <v>9228890.6253999677</v>
      </c>
      <c r="K87" s="236">
        <f>'inputdata(costs-benefits) '!L53</f>
        <v>9249088.2508932874</v>
      </c>
      <c r="L87" s="236">
        <f>'inputdata(costs-benefits) '!M53</f>
        <v>9269524.2083674278</v>
      </c>
      <c r="M87" s="236">
        <f>'inputdata(costs-benefits) '!N53</f>
        <v>9290201.3101397622</v>
      </c>
      <c r="N87" s="236">
        <f>'inputdata(costs-benefits) '!O53</f>
        <v>9311122.4017130136</v>
      </c>
      <c r="O87" s="236">
        <f>'inputdata(costs-benefits) '!P53</f>
        <v>9332290.3621668257</v>
      </c>
      <c r="P87" s="236">
        <f>'inputdata(costs-benefits) '!Q53</f>
        <v>9353708.1045539957</v>
      </c>
      <c r="Q87" s="236">
        <f>'inputdata(costs-benefits) '!R53</f>
        <v>9375378.5763013326</v>
      </c>
      <c r="R87" s="236">
        <f>'inputdata(costs-benefits) '!S53</f>
        <v>9397304.759615289</v>
      </c>
      <c r="S87" s="236">
        <f>'inputdata(costs-benefits) '!T53</f>
        <v>9419489.6718923487</v>
      </c>
      <c r="T87" s="236">
        <f>'inputdata(costs-benefits) '!U53</f>
        <v>9441936.3661342785</v>
      </c>
      <c r="U87" s="236">
        <f>'inputdata(costs-benefits) '!V53</f>
        <v>9464647.9313682634</v>
      </c>
      <c r="V87" s="236">
        <f>'inputdata(costs-benefits) '!W53</f>
        <v>9487627.4930720087</v>
      </c>
      <c r="W87" s="236">
        <f>'inputdata(costs-benefits) '!X53</f>
        <v>9510878.2136038579</v>
      </c>
      <c r="X87" s="236">
        <f>'inputdata(costs-benefits) '!Y53</f>
        <v>9534403.2926379833</v>
      </c>
      <c r="Y87" s="236">
        <f>'inputdata(costs-benefits) '!Z53</f>
        <v>9558205.9676047117</v>
      </c>
      <c r="Z87" s="236">
        <f>'inputdata(costs-benefits) '!AA53</f>
        <v>9582289.514136048</v>
      </c>
      <c r="AA87" s="236">
        <f>'inputdata(costs-benefits) '!AB53</f>
        <v>9606657.2465164531</v>
      </c>
      <c r="AB87" s="236">
        <f>'inputdata(costs-benefits) '!AC53</f>
        <v>9631312.518138947</v>
      </c>
      <c r="AC87" s="236">
        <f>'inputdata(costs-benefits) '!AD53</f>
        <v>9656258.721966587</v>
      </c>
      <c r="AD87" s="236">
        <f>'inputdata(costs-benefits) '!AE53</f>
        <v>9681499.290999392</v>
      </c>
      <c r="AE87" s="236">
        <f>'inputdata(costs-benefits) '!AF53</f>
        <v>9707037.6987467855</v>
      </c>
      <c r="AF87" s="236">
        <f>'inputdata(costs-benefits) '!AG53</f>
        <v>9732877.4597055987</v>
      </c>
      <c r="AG87" s="236">
        <f>'inputdata(costs-benefits) '!AH53</f>
        <v>9759022.129843723</v>
      </c>
    </row>
    <row r="88" spans="1:33" ht="38.25" x14ac:dyDescent="0.2">
      <c r="A88" s="352" t="str">
        <f>inputdata!A44</f>
        <v>treatment plant (Conventional activated sludge+ disinfection)</v>
      </c>
      <c r="B88" s="352" t="str">
        <f>inputdata!B44</f>
        <v>T6</v>
      </c>
      <c r="C88" s="236">
        <f>'inputdata(costs-benefits) '!D57</f>
        <v>496395310.99000001</v>
      </c>
      <c r="D88" s="236">
        <f>'inputdata(costs-benefits) '!E57</f>
        <v>11072556.439030303</v>
      </c>
      <c r="E88" s="236">
        <f>'inputdata(costs-benefits) '!F57</f>
        <v>11114509.321124461</v>
      </c>
      <c r="F88" s="236">
        <f>'inputdata(costs-benefits) '!G57</f>
        <v>11156957.24722733</v>
      </c>
      <c r="G88" s="236">
        <f>'inputdata(costs-benefits) '!H57</f>
        <v>11199906.058858212</v>
      </c>
      <c r="H88" s="236">
        <f>'inputdata(costs-benefits) '!I57</f>
        <v>11243361.666466339</v>
      </c>
      <c r="I88" s="236">
        <f>'inputdata(costs-benefits) '!J57</f>
        <v>11287330.050244242</v>
      </c>
      <c r="J88" s="236">
        <f>'inputdata(costs-benefits) '!K57</f>
        <v>11331817.260950722</v>
      </c>
      <c r="K88" s="236">
        <f>'inputdata(costs-benefits) '!L57</f>
        <v>11376829.420743542</v>
      </c>
      <c r="L88" s="236">
        <f>'inputdata(costs-benefits) '!M57</f>
        <v>11422372.724021917</v>
      </c>
      <c r="M88" s="236">
        <f>'inputdata(costs-benefits) '!N57</f>
        <v>11468453.438278975</v>
      </c>
      <c r="N88" s="236">
        <f>'inputdata(costs-benefits) '!O57</f>
        <v>11515077.904964268</v>
      </c>
      <c r="O88" s="236">
        <f>'inputdata(costs-benefits) '!P57</f>
        <v>11562252.540356446</v>
      </c>
      <c r="P88" s="236">
        <f>'inputdata(costs-benefits) '!Q57</f>
        <v>11609983.836446252</v>
      </c>
      <c r="Q88" s="236">
        <f>'inputdata(costs-benefits) '!R57</f>
        <v>11658278.361829916</v>
      </c>
      <c r="R88" s="236">
        <f>'inputdata(costs-benefits) '!S57</f>
        <v>11707142.76261311</v>
      </c>
      <c r="S88" s="236">
        <f>'inputdata(costs-benefits) '!T57</f>
        <v>11756583.763325544</v>
      </c>
      <c r="T88" s="236">
        <f>'inputdata(costs-benefits) '!U57</f>
        <v>11806608.167846385</v>
      </c>
      <c r="U88" s="236">
        <f>'inputdata(costs-benefits) '!V57</f>
        <v>11857222.860340575</v>
      </c>
      <c r="V88" s="236">
        <f>'inputdata(costs-benefits) '!W57</f>
        <v>11908434.806206193</v>
      </c>
      <c r="W88" s="236">
        <f>'inputdata(costs-benefits) '!X57</f>
        <v>11960251.053033026</v>
      </c>
      <c r="X88" s="236">
        <f>'inputdata(costs-benefits) '!Y57</f>
        <v>12012678.731572418</v>
      </c>
      <c r="Y88" s="236">
        <f>'inputdata(costs-benefits) '!Z57</f>
        <v>12065725.056718569</v>
      </c>
      <c r="Z88" s="236">
        <f>'inputdata(costs-benefits) '!AA57</f>
        <v>12119397.328501452</v>
      </c>
      <c r="AA88" s="236">
        <f>'inputdata(costs-benefits) '!AB57</f>
        <v>12173702.933091369</v>
      </c>
      <c r="AB88" s="236">
        <f>'inputdata(costs-benefits) '!AC57</f>
        <v>12228649.343815448</v>
      </c>
      <c r="AC88" s="236">
        <f>'inputdata(costs-benefits) '!AD57</f>
        <v>12284244.122186068</v>
      </c>
      <c r="AD88" s="236">
        <f>'inputdata(costs-benefits) '!AE57</f>
        <v>12340494.918941462</v>
      </c>
      <c r="AE88" s="236">
        <f>'inputdata(costs-benefits) '!AF57</f>
        <v>12397409.475098575</v>
      </c>
      <c r="AF88" s="236">
        <f>'inputdata(costs-benefits) '!AG57</f>
        <v>12454995.623018337</v>
      </c>
      <c r="AG88" s="236">
        <f>'inputdata(costs-benefits) '!AH57</f>
        <v>12513261.287483551</v>
      </c>
    </row>
    <row r="89" spans="1:33" ht="38.25" x14ac:dyDescent="0.2">
      <c r="A89" s="352" t="str">
        <f>inputdata!A45</f>
        <v>Activated sludge+ Biological Nitrogen Removal (MLE)+ disinfection</v>
      </c>
      <c r="B89" s="352" t="str">
        <f>inputdata!B45</f>
        <v>T7</v>
      </c>
      <c r="C89" s="236">
        <f>'inputdata(costs-benefits) '!D61</f>
        <v>511395310.99000001</v>
      </c>
      <c r="D89" s="236">
        <f>'inputdata(costs-benefits) '!E61</f>
        <v>11492556.439030303</v>
      </c>
      <c r="E89" s="236">
        <f>'inputdata(costs-benefits) '!F61</f>
        <v>11539465.321124461</v>
      </c>
      <c r="F89" s="236">
        <f>'inputdata(costs-benefits) '!G61</f>
        <v>11586927.728027331</v>
      </c>
      <c r="G89" s="236">
        <f>'inputdata(costs-benefits) '!H61</f>
        <v>11634950.191331651</v>
      </c>
      <c r="H89" s="236">
        <f>'inputdata(costs-benefits) '!I61</f>
        <v>11683539.319702966</v>
      </c>
      <c r="I89" s="236">
        <f>'inputdata(costs-benefits) '!J61</f>
        <v>11732701.79978906</v>
      </c>
      <c r="J89" s="236">
        <f>'inputdata(costs-benefits) '!K61</f>
        <v>11782444.39714017</v>
      </c>
      <c r="K89" s="236">
        <f>'inputdata(costs-benefits) '!L61</f>
        <v>11832773.957140025</v>
      </c>
      <c r="L89" s="236">
        <f>'inputdata(costs-benefits) '!M61</f>
        <v>11883697.405947877</v>
      </c>
      <c r="M89" s="236">
        <f>'inputdata(costs-benefits) '!N61</f>
        <v>11935221.751451662</v>
      </c>
      <c r="N89" s="236">
        <f>'inputdata(costs-benefits) '!O61</f>
        <v>11987354.084232394</v>
      </c>
      <c r="O89" s="236">
        <f>'inputdata(costs-benefits) '!P61</f>
        <v>12040101.578539934</v>
      </c>
      <c r="P89" s="236">
        <f>'inputdata(costs-benefits) '!Q61</f>
        <v>12093471.493280306</v>
      </c>
      <c r="Q89" s="236">
        <f>'inputdata(costs-benefits) '!R61</f>
        <v>12147471.173014613</v>
      </c>
      <c r="R89" s="236">
        <f>'inputdata(costs-benefits) '!S61</f>
        <v>12202108.048969787</v>
      </c>
      <c r="S89" s="236">
        <f>'inputdata(costs-benefits) '!T61</f>
        <v>12257389.640061229</v>
      </c>
      <c r="T89" s="236">
        <f>'inputdata(costs-benefits) '!U61</f>
        <v>12313323.553927552</v>
      </c>
      <c r="U89" s="236">
        <f>'inputdata(costs-benefits) '!V61</f>
        <v>12369917.487977499</v>
      </c>
      <c r="V89" s="236">
        <f>'inputdata(costs-benefits) '!W61</f>
        <v>12427179.230449233</v>
      </c>
      <c r="W89" s="236">
        <f>'inputdata(costs-benefits) '!X61</f>
        <v>12485116.661482135</v>
      </c>
      <c r="X89" s="236">
        <f>'inputdata(costs-benefits) '!Y61</f>
        <v>12543737.754201224</v>
      </c>
      <c r="Y89" s="236">
        <f>'inputdata(costs-benefits) '!Z61</f>
        <v>12603050.575814396</v>
      </c>
      <c r="Z89" s="236">
        <f>'inputdata(costs-benefits) '!AA61</f>
        <v>12663063.288722608</v>
      </c>
      <c r="AA89" s="236">
        <f>'inputdata(costs-benefits) '!AB61</f>
        <v>12723784.151643135</v>
      </c>
      <c r="AB89" s="236">
        <f>'inputdata(costs-benefits) '!AC61</f>
        <v>12785221.520746125</v>
      </c>
      <c r="AC89" s="236">
        <f>'inputdata(costs-benefits) '!AD61</f>
        <v>12847383.85080453</v>
      </c>
      <c r="AD89" s="236">
        <f>'inputdata(costs-benefits) '!AE61</f>
        <v>12910279.696357621</v>
      </c>
      <c r="AE89" s="236">
        <f>'inputdata(costs-benefits) '!AF61</f>
        <v>12973917.712888243</v>
      </c>
      <c r="AF89" s="236">
        <f>'inputdata(costs-benefits) '!AG61</f>
        <v>13038306.658013923</v>
      </c>
      <c r="AG89" s="236">
        <f>'inputdata(costs-benefits) '!AH61</f>
        <v>13103455.392692085</v>
      </c>
    </row>
    <row r="90" spans="1:33" ht="38.25" x14ac:dyDescent="0.2">
      <c r="A90" s="352" t="str">
        <f>inputdata!A46</f>
        <v>Activated sludge+ Ultrfiltration+ reverse osmosis</v>
      </c>
      <c r="B90" s="352" t="str">
        <f>inputdata!B46</f>
        <v>T8</v>
      </c>
      <c r="C90" s="236">
        <f>'inputdata(costs-benefits) '!D66</f>
        <v>652803650.49000001</v>
      </c>
      <c r="D90" s="236">
        <f>'inputdata(costs-benefits) '!E66</f>
        <v>20270556.439030301</v>
      </c>
      <c r="E90" s="236">
        <f>'inputdata(costs-benefits) '!F66</f>
        <v>20421045.721124459</v>
      </c>
      <c r="F90" s="236">
        <f>'inputdata(costs-benefits) '!G66</f>
        <v>20573310.776747327</v>
      </c>
      <c r="G90" s="236">
        <f>'inputdata(costs-benefits) '!H66</f>
        <v>20727372.560026545</v>
      </c>
      <c r="H90" s="236">
        <f>'inputdata(costs-benefits) '!I66</f>
        <v>20883252.27234846</v>
      </c>
      <c r="I90" s="236">
        <f>'inputdata(costs-benefits) '!J66</f>
        <v>21040971.36527577</v>
      </c>
      <c r="J90" s="236">
        <f>'inputdata(costs-benefits) '!K66</f>
        <v>21200551.543499626</v>
      </c>
      <c r="K90" s="236">
        <f>'inputdata(costs-benefits) '!L66</f>
        <v>21362014.767826527</v>
      </c>
      <c r="L90" s="236">
        <f>'inputdata(costs-benefits) '!M66</f>
        <v>21525383.258200478</v>
      </c>
      <c r="M90" s="236">
        <f>'inputdata(costs-benefits) '!N66</f>
        <v>21690679.496760841</v>
      </c>
      <c r="N90" s="236">
        <f>'inputdata(costs-benefits) '!O66</f>
        <v>21857926.230936222</v>
      </c>
      <c r="O90" s="236">
        <f>'inputdata(costs-benefits) '!P66</f>
        <v>22027146.476574868</v>
      </c>
      <c r="P90" s="236">
        <f>'inputdata(costs-benefits) '!Q66</f>
        <v>22198363.521112051</v>
      </c>
      <c r="Q90" s="236">
        <f>'inputdata(costs-benefits) '!R66</f>
        <v>22371600.926774774</v>
      </c>
      <c r="R90" s="236">
        <f>'inputdata(costs-benefits) '!S66</f>
        <v>22546882.533824317</v>
      </c>
      <c r="S90" s="236">
        <f>'inputdata(costs-benefits) '!T66</f>
        <v>22724232.463837046</v>
      </c>
      <c r="T90" s="236">
        <f>'inputdata(costs-benefits) '!U66</f>
        <v>22903675.123023923</v>
      </c>
      <c r="U90" s="236">
        <f>'inputdata(costs-benefits) '!V66</f>
        <v>23085235.205589205</v>
      </c>
      <c r="V90" s="236">
        <f>'inputdata(costs-benefits) '!W66</f>
        <v>23268937.697128758</v>
      </c>
      <c r="W90" s="236">
        <f>'inputdata(costs-benefits) '!X66</f>
        <v>23454807.878068477</v>
      </c>
      <c r="X90" s="236">
        <f>'inputdata(costs-benefits) '!Y66</f>
        <v>23642871.327143282</v>
      </c>
      <c r="Y90" s="236">
        <f>'inputdata(costs-benefits) '!Z66</f>
        <v>23833153.924917176</v>
      </c>
      <c r="Z90" s="236">
        <f>'inputdata(costs-benefits) '!AA66</f>
        <v>24025681.857344802</v>
      </c>
      <c r="AA90" s="236">
        <f>'inputdata(costs-benefits) '!AB66</f>
        <v>24220481.619375069</v>
      </c>
      <c r="AB90" s="236">
        <f>'inputdata(costs-benefits) '!AC66</f>
        <v>24417580.018597297</v>
      </c>
      <c r="AC90" s="236">
        <f>'inputdata(costs-benefits) '!AD66</f>
        <v>24617004.178930346</v>
      </c>
      <c r="AD90" s="236">
        <f>'inputdata(costs-benefits) '!AE66</f>
        <v>24818781.544355325</v>
      </c>
      <c r="AE90" s="236">
        <f>'inputdata(costs-benefits) '!AF66</f>
        <v>25022939.882692318</v>
      </c>
      <c r="AF90" s="236">
        <f>'inputdata(costs-benefits) '!AG66</f>
        <v>25229507.289421692</v>
      </c>
      <c r="AG90" s="236">
        <f>'inputdata(costs-benefits) '!AH66</f>
        <v>25438512.19155046</v>
      </c>
    </row>
    <row r="93" spans="1:33" ht="15" x14ac:dyDescent="0.2">
      <c r="A93" s="477" t="s">
        <v>228</v>
      </c>
      <c r="B93" s="478"/>
      <c r="C93" s="209">
        <v>0</v>
      </c>
      <c r="D93" s="209">
        <v>1</v>
      </c>
      <c r="E93" s="209">
        <v>2</v>
      </c>
      <c r="F93" s="209">
        <v>3</v>
      </c>
      <c r="G93" s="209">
        <v>4</v>
      </c>
      <c r="H93" s="209">
        <v>5</v>
      </c>
      <c r="I93" s="209">
        <v>6</v>
      </c>
      <c r="J93" s="209">
        <v>7</v>
      </c>
      <c r="K93" s="209">
        <v>8</v>
      </c>
      <c r="L93" s="209">
        <v>9</v>
      </c>
      <c r="M93" s="209">
        <v>10</v>
      </c>
      <c r="N93" s="209">
        <v>11</v>
      </c>
      <c r="O93" s="209">
        <v>12</v>
      </c>
      <c r="P93" s="209">
        <v>13</v>
      </c>
      <c r="Q93" s="209">
        <v>14</v>
      </c>
      <c r="R93" s="209">
        <v>15</v>
      </c>
      <c r="S93" s="209">
        <v>16</v>
      </c>
      <c r="T93" s="209">
        <v>17</v>
      </c>
      <c r="U93" s="209">
        <v>18</v>
      </c>
      <c r="V93" s="209">
        <v>19</v>
      </c>
      <c r="W93" s="209">
        <v>20</v>
      </c>
      <c r="X93" s="209">
        <v>21</v>
      </c>
      <c r="Y93" s="209">
        <v>22</v>
      </c>
      <c r="Z93" s="209">
        <v>23</v>
      </c>
      <c r="AA93" s="209">
        <v>24</v>
      </c>
      <c r="AB93" s="209">
        <v>25</v>
      </c>
      <c r="AC93" s="209">
        <v>26</v>
      </c>
      <c r="AD93" s="209">
        <v>27</v>
      </c>
      <c r="AE93" s="209">
        <v>28</v>
      </c>
      <c r="AF93" s="209">
        <v>29</v>
      </c>
      <c r="AG93" s="209">
        <v>30</v>
      </c>
    </row>
    <row r="94" spans="1:33" x14ac:dyDescent="0.2">
      <c r="A94" s="477" t="s">
        <v>332</v>
      </c>
      <c r="B94" s="478"/>
      <c r="C94"/>
      <c r="D94" s="236"/>
      <c r="E94" s="236"/>
      <c r="F94" s="236"/>
      <c r="G94" s="236"/>
      <c r="H94" s="236"/>
      <c r="I94" s="236"/>
      <c r="J94" s="236"/>
      <c r="K94" s="236"/>
      <c r="L94" s="236"/>
      <c r="M94" s="236"/>
      <c r="N94" s="236"/>
      <c r="O94" s="236"/>
      <c r="P94" s="236"/>
      <c r="Q94" s="236"/>
      <c r="R94" s="236"/>
      <c r="S94" s="236"/>
      <c r="T94" s="236"/>
      <c r="U94" s="236"/>
      <c r="V94" s="236"/>
      <c r="W94" s="236"/>
      <c r="X94" s="236"/>
      <c r="Y94" s="236"/>
      <c r="Z94" s="236"/>
      <c r="AA94" s="236"/>
      <c r="AB94" s="236"/>
      <c r="AC94" s="236"/>
      <c r="AD94" s="236"/>
      <c r="AE94" s="236"/>
      <c r="AF94" s="236"/>
      <c r="AG94" s="236"/>
    </row>
    <row r="95" spans="1:33" x14ac:dyDescent="0.2">
      <c r="A95" s="207" t="str">
        <f>inputdata!A37</f>
        <v>local wells</v>
      </c>
      <c r="B95" s="207" t="str">
        <f>inputdata!B37</f>
        <v>GW</v>
      </c>
      <c r="C95"/>
      <c r="D95" s="236" t="str">
        <f>IF(Variable!$B$4='lifeCycle Costs calculation'!B95,$C$36," ")</f>
        <v xml:space="preserve"> </v>
      </c>
      <c r="E95" s="236" t="str">
        <f>$D95</f>
        <v xml:space="preserve"> </v>
      </c>
      <c r="F95" s="236" t="str">
        <f t="shared" ref="F95:AG100" si="3">$D95</f>
        <v xml:space="preserve"> </v>
      </c>
      <c r="G95" s="236" t="str">
        <f t="shared" si="3"/>
        <v xml:space="preserve"> </v>
      </c>
      <c r="H95" s="236" t="str">
        <f t="shared" si="3"/>
        <v xml:space="preserve"> </v>
      </c>
      <c r="I95" s="236" t="str">
        <f t="shared" si="3"/>
        <v xml:space="preserve"> </v>
      </c>
      <c r="J95" s="236" t="str">
        <f t="shared" si="3"/>
        <v xml:space="preserve"> </v>
      </c>
      <c r="K95" s="236" t="str">
        <f t="shared" si="3"/>
        <v xml:space="preserve"> </v>
      </c>
      <c r="L95" s="236" t="str">
        <f t="shared" si="3"/>
        <v xml:space="preserve"> </v>
      </c>
      <c r="M95" s="236" t="str">
        <f t="shared" si="3"/>
        <v xml:space="preserve"> </v>
      </c>
      <c r="N95" s="236" t="str">
        <f t="shared" si="3"/>
        <v xml:space="preserve"> </v>
      </c>
      <c r="O95" s="236" t="str">
        <f t="shared" si="3"/>
        <v xml:space="preserve"> </v>
      </c>
      <c r="P95" s="236" t="str">
        <f t="shared" si="3"/>
        <v xml:space="preserve"> </v>
      </c>
      <c r="Q95" s="236" t="str">
        <f t="shared" si="3"/>
        <v xml:space="preserve"> </v>
      </c>
      <c r="R95" s="236" t="str">
        <f t="shared" si="3"/>
        <v xml:space="preserve"> </v>
      </c>
      <c r="S95" s="236" t="str">
        <f t="shared" si="3"/>
        <v xml:space="preserve"> </v>
      </c>
      <c r="T95" s="236" t="str">
        <f t="shared" si="3"/>
        <v xml:space="preserve"> </v>
      </c>
      <c r="U95" s="236" t="str">
        <f t="shared" si="3"/>
        <v xml:space="preserve"> </v>
      </c>
      <c r="V95" s="236" t="str">
        <f t="shared" si="3"/>
        <v xml:space="preserve"> </v>
      </c>
      <c r="W95" s="236" t="str">
        <f t="shared" si="3"/>
        <v xml:space="preserve"> </v>
      </c>
      <c r="X95" s="236" t="str">
        <f t="shared" si="3"/>
        <v xml:space="preserve"> </v>
      </c>
      <c r="Y95" s="236" t="str">
        <f t="shared" si="3"/>
        <v xml:space="preserve"> </v>
      </c>
      <c r="Z95" s="236" t="str">
        <f t="shared" si="3"/>
        <v xml:space="preserve"> </v>
      </c>
      <c r="AA95" s="236" t="str">
        <f t="shared" si="3"/>
        <v xml:space="preserve"> </v>
      </c>
      <c r="AB95" s="236" t="str">
        <f t="shared" si="3"/>
        <v xml:space="preserve"> </v>
      </c>
      <c r="AC95" s="236" t="str">
        <f t="shared" si="3"/>
        <v xml:space="preserve"> </v>
      </c>
      <c r="AD95" s="236" t="str">
        <f t="shared" si="3"/>
        <v xml:space="preserve"> </v>
      </c>
      <c r="AE95" s="236" t="str">
        <f t="shared" si="3"/>
        <v xml:space="preserve"> </v>
      </c>
      <c r="AF95" s="236" t="str">
        <f t="shared" si="3"/>
        <v xml:space="preserve"> </v>
      </c>
      <c r="AG95" s="236" t="str">
        <f t="shared" si="3"/>
        <v xml:space="preserve"> </v>
      </c>
    </row>
    <row r="96" spans="1:33" x14ac:dyDescent="0.2">
      <c r="A96" s="207" t="str">
        <f>inputdata!A38</f>
        <v>Man made River supply</v>
      </c>
      <c r="B96" s="207" t="str">
        <f>inputdata!B38</f>
        <v>MMR</v>
      </c>
      <c r="C96"/>
      <c r="D96" s="236" t="str">
        <f>IF(Variable!$B$4='lifeCycle Costs calculation'!B96,$C$36," ")</f>
        <v xml:space="preserve"> </v>
      </c>
      <c r="E96" s="236" t="str">
        <f t="shared" ref="E96:T100" si="4">$D96</f>
        <v xml:space="preserve"> </v>
      </c>
      <c r="F96" s="236" t="str">
        <f t="shared" si="4"/>
        <v xml:space="preserve"> </v>
      </c>
      <c r="G96" s="236" t="str">
        <f t="shared" si="4"/>
        <v xml:space="preserve"> </v>
      </c>
      <c r="H96" s="236" t="str">
        <f t="shared" si="4"/>
        <v xml:space="preserve"> </v>
      </c>
      <c r="I96" s="236" t="str">
        <f t="shared" si="4"/>
        <v xml:space="preserve"> </v>
      </c>
      <c r="J96" s="236" t="str">
        <f t="shared" si="4"/>
        <v xml:space="preserve"> </v>
      </c>
      <c r="K96" s="236" t="str">
        <f t="shared" si="4"/>
        <v xml:space="preserve"> </v>
      </c>
      <c r="L96" s="236" t="str">
        <f t="shared" si="4"/>
        <v xml:space="preserve"> </v>
      </c>
      <c r="M96" s="236" t="str">
        <f t="shared" si="4"/>
        <v xml:space="preserve"> </v>
      </c>
      <c r="N96" s="236" t="str">
        <f t="shared" si="4"/>
        <v xml:space="preserve"> </v>
      </c>
      <c r="O96" s="236" t="str">
        <f t="shared" si="4"/>
        <v xml:space="preserve"> </v>
      </c>
      <c r="P96" s="236" t="str">
        <f t="shared" si="4"/>
        <v xml:space="preserve"> </v>
      </c>
      <c r="Q96" s="236" t="str">
        <f t="shared" si="4"/>
        <v xml:space="preserve"> </v>
      </c>
      <c r="R96" s="236" t="str">
        <f t="shared" si="4"/>
        <v xml:space="preserve"> </v>
      </c>
      <c r="S96" s="236" t="str">
        <f t="shared" si="4"/>
        <v xml:space="preserve"> </v>
      </c>
      <c r="T96" s="236" t="str">
        <f t="shared" si="4"/>
        <v xml:space="preserve"> </v>
      </c>
      <c r="U96" s="236" t="str">
        <f t="shared" si="3"/>
        <v xml:space="preserve"> </v>
      </c>
      <c r="V96" s="236" t="str">
        <f t="shared" si="3"/>
        <v xml:space="preserve"> </v>
      </c>
      <c r="W96" s="236" t="str">
        <f t="shared" si="3"/>
        <v xml:space="preserve"> </v>
      </c>
      <c r="X96" s="236" t="str">
        <f t="shared" si="3"/>
        <v xml:space="preserve"> </v>
      </c>
      <c r="Y96" s="236" t="str">
        <f t="shared" si="3"/>
        <v xml:space="preserve"> </v>
      </c>
      <c r="Z96" s="236" t="str">
        <f t="shared" si="3"/>
        <v xml:space="preserve"> </v>
      </c>
      <c r="AA96" s="236" t="str">
        <f t="shared" si="3"/>
        <v xml:space="preserve"> </v>
      </c>
      <c r="AB96" s="236" t="str">
        <f t="shared" si="3"/>
        <v xml:space="preserve"> </v>
      </c>
      <c r="AC96" s="236" t="str">
        <f t="shared" si="3"/>
        <v xml:space="preserve"> </v>
      </c>
      <c r="AD96" s="236" t="str">
        <f t="shared" si="3"/>
        <v xml:space="preserve"> </v>
      </c>
      <c r="AE96" s="236" t="str">
        <f t="shared" si="3"/>
        <v xml:space="preserve"> </v>
      </c>
      <c r="AF96" s="236" t="str">
        <f t="shared" si="3"/>
        <v xml:space="preserve"> </v>
      </c>
      <c r="AG96" s="236" t="str">
        <f t="shared" si="3"/>
        <v xml:space="preserve"> </v>
      </c>
    </row>
    <row r="97" spans="1:33" x14ac:dyDescent="0.2">
      <c r="A97" s="352" t="str">
        <f>inputdata!A39</f>
        <v xml:space="preserve">conventional activated sludge </v>
      </c>
      <c r="B97" s="352" t="str">
        <f>inputdata!B39</f>
        <v>T1</v>
      </c>
      <c r="C97"/>
      <c r="D97" s="236" t="str">
        <f>IF(Variable!$B$4='lifeCycle Costs calculation'!B97,$C$36," ")</f>
        <v xml:space="preserve"> </v>
      </c>
      <c r="E97" s="236" t="str">
        <f t="shared" si="4"/>
        <v xml:space="preserve"> </v>
      </c>
      <c r="F97" s="236" t="str">
        <f t="shared" si="3"/>
        <v xml:space="preserve"> </v>
      </c>
      <c r="G97" s="236" t="str">
        <f t="shared" si="3"/>
        <v xml:space="preserve"> </v>
      </c>
      <c r="H97" s="236" t="str">
        <f t="shared" si="3"/>
        <v xml:space="preserve"> </v>
      </c>
      <c r="I97" s="236" t="str">
        <f t="shared" si="3"/>
        <v xml:space="preserve"> </v>
      </c>
      <c r="J97" s="236" t="str">
        <f t="shared" si="3"/>
        <v xml:space="preserve"> </v>
      </c>
      <c r="K97" s="236" t="str">
        <f t="shared" si="3"/>
        <v xml:space="preserve"> </v>
      </c>
      <c r="L97" s="236" t="str">
        <f t="shared" si="3"/>
        <v xml:space="preserve"> </v>
      </c>
      <c r="M97" s="236" t="str">
        <f t="shared" si="3"/>
        <v xml:space="preserve"> </v>
      </c>
      <c r="N97" s="236" t="str">
        <f t="shared" si="3"/>
        <v xml:space="preserve"> </v>
      </c>
      <c r="O97" s="236" t="str">
        <f t="shared" si="3"/>
        <v xml:space="preserve"> </v>
      </c>
      <c r="P97" s="236" t="str">
        <f t="shared" si="3"/>
        <v xml:space="preserve"> </v>
      </c>
      <c r="Q97" s="236" t="str">
        <f t="shared" si="3"/>
        <v xml:space="preserve"> </v>
      </c>
      <c r="R97" s="236" t="str">
        <f t="shared" si="3"/>
        <v xml:space="preserve"> </v>
      </c>
      <c r="S97" s="236" t="str">
        <f t="shared" si="3"/>
        <v xml:space="preserve"> </v>
      </c>
      <c r="T97" s="236" t="str">
        <f t="shared" si="3"/>
        <v xml:space="preserve"> </v>
      </c>
      <c r="U97" s="236" t="str">
        <f t="shared" si="3"/>
        <v xml:space="preserve"> </v>
      </c>
      <c r="V97" s="236" t="str">
        <f t="shared" si="3"/>
        <v xml:space="preserve"> </v>
      </c>
      <c r="W97" s="236" t="str">
        <f t="shared" si="3"/>
        <v xml:space="preserve"> </v>
      </c>
      <c r="X97" s="236" t="str">
        <f t="shared" si="3"/>
        <v xml:space="preserve"> </v>
      </c>
      <c r="Y97" s="236" t="str">
        <f t="shared" si="3"/>
        <v xml:space="preserve"> </v>
      </c>
      <c r="Z97" s="236" t="str">
        <f t="shared" si="3"/>
        <v xml:space="preserve"> </v>
      </c>
      <c r="AA97" s="236" t="str">
        <f t="shared" si="3"/>
        <v xml:space="preserve"> </v>
      </c>
      <c r="AB97" s="236" t="str">
        <f t="shared" si="3"/>
        <v xml:space="preserve"> </v>
      </c>
      <c r="AC97" s="236" t="str">
        <f t="shared" si="3"/>
        <v xml:space="preserve"> </v>
      </c>
      <c r="AD97" s="236" t="str">
        <f t="shared" si="3"/>
        <v xml:space="preserve"> </v>
      </c>
      <c r="AE97" s="236" t="str">
        <f t="shared" si="3"/>
        <v xml:space="preserve"> </v>
      </c>
      <c r="AF97" s="236" t="str">
        <f t="shared" si="3"/>
        <v xml:space="preserve"> </v>
      </c>
      <c r="AG97" s="236" t="str">
        <f t="shared" si="3"/>
        <v xml:space="preserve"> </v>
      </c>
    </row>
    <row r="98" spans="1:33" x14ac:dyDescent="0.2">
      <c r="A98" s="352" t="str">
        <f>inputdata!A40</f>
        <v>on site( Three-tank system )</v>
      </c>
      <c r="B98" s="352" t="str">
        <f>inputdata!B40</f>
        <v>T2</v>
      </c>
      <c r="C98"/>
      <c r="D98" s="236" t="str">
        <f>IF(Variable!$B$4='lifeCycle Costs calculation'!B98,$C$36," ")</f>
        <v xml:space="preserve"> </v>
      </c>
      <c r="E98" s="236" t="str">
        <f t="shared" si="4"/>
        <v xml:space="preserve"> </v>
      </c>
      <c r="F98" s="236" t="str">
        <f t="shared" si="3"/>
        <v xml:space="preserve"> </v>
      </c>
      <c r="G98" s="236" t="str">
        <f t="shared" si="3"/>
        <v xml:space="preserve"> </v>
      </c>
      <c r="H98" s="236" t="str">
        <f t="shared" si="3"/>
        <v xml:space="preserve"> </v>
      </c>
      <c r="I98" s="236" t="str">
        <f t="shared" si="3"/>
        <v xml:space="preserve"> </v>
      </c>
      <c r="J98" s="236" t="str">
        <f t="shared" si="3"/>
        <v xml:space="preserve"> </v>
      </c>
      <c r="K98" s="236" t="str">
        <f t="shared" si="3"/>
        <v xml:space="preserve"> </v>
      </c>
      <c r="L98" s="236" t="str">
        <f t="shared" si="3"/>
        <v xml:space="preserve"> </v>
      </c>
      <c r="M98" s="236" t="str">
        <f t="shared" si="3"/>
        <v xml:space="preserve"> </v>
      </c>
      <c r="N98" s="236" t="str">
        <f t="shared" si="3"/>
        <v xml:space="preserve"> </v>
      </c>
      <c r="O98" s="236" t="str">
        <f t="shared" si="3"/>
        <v xml:space="preserve"> </v>
      </c>
      <c r="P98" s="236" t="str">
        <f t="shared" si="3"/>
        <v xml:space="preserve"> </v>
      </c>
      <c r="Q98" s="236" t="str">
        <f t="shared" si="3"/>
        <v xml:space="preserve"> </v>
      </c>
      <c r="R98" s="236" t="str">
        <f t="shared" si="3"/>
        <v xml:space="preserve"> </v>
      </c>
      <c r="S98" s="236" t="str">
        <f t="shared" si="3"/>
        <v xml:space="preserve"> </v>
      </c>
      <c r="T98" s="236" t="str">
        <f t="shared" si="3"/>
        <v xml:space="preserve"> </v>
      </c>
      <c r="U98" s="236" t="str">
        <f t="shared" si="3"/>
        <v xml:space="preserve"> </v>
      </c>
      <c r="V98" s="236" t="str">
        <f t="shared" si="3"/>
        <v xml:space="preserve"> </v>
      </c>
      <c r="W98" s="236" t="str">
        <f t="shared" si="3"/>
        <v xml:space="preserve"> </v>
      </c>
      <c r="X98" s="236" t="str">
        <f t="shared" si="3"/>
        <v xml:space="preserve"> </v>
      </c>
      <c r="Y98" s="236" t="str">
        <f t="shared" si="3"/>
        <v xml:space="preserve"> </v>
      </c>
      <c r="Z98" s="236" t="str">
        <f t="shared" si="3"/>
        <v xml:space="preserve"> </v>
      </c>
      <c r="AA98" s="236" t="str">
        <f t="shared" si="3"/>
        <v xml:space="preserve"> </v>
      </c>
      <c r="AB98" s="236" t="str">
        <f t="shared" si="3"/>
        <v xml:space="preserve"> </v>
      </c>
      <c r="AC98" s="236" t="str">
        <f t="shared" si="3"/>
        <v xml:space="preserve"> </v>
      </c>
      <c r="AD98" s="236" t="str">
        <f t="shared" si="3"/>
        <v xml:space="preserve"> </v>
      </c>
      <c r="AE98" s="236" t="str">
        <f t="shared" si="3"/>
        <v xml:space="preserve"> </v>
      </c>
      <c r="AF98" s="236" t="str">
        <f t="shared" si="3"/>
        <v xml:space="preserve"> </v>
      </c>
      <c r="AG98" s="236" t="str">
        <f t="shared" si="3"/>
        <v xml:space="preserve"> </v>
      </c>
    </row>
    <row r="99" spans="1:33" ht="12.75" customHeight="1" x14ac:dyDescent="0.2">
      <c r="A99" s="352" t="str">
        <f>inputdata!A41</f>
        <v>on site(Three-tank system +sand Filter)</v>
      </c>
      <c r="B99" s="352" t="str">
        <f>inputdata!B41</f>
        <v>T3</v>
      </c>
      <c r="C99"/>
      <c r="D99" s="236" t="str">
        <f>IF(Variable!$B$4='lifeCycle Costs calculation'!B99,$C$36," ")</f>
        <v xml:space="preserve"> </v>
      </c>
      <c r="E99" s="236" t="str">
        <f t="shared" si="4"/>
        <v xml:space="preserve"> </v>
      </c>
      <c r="F99" s="236" t="str">
        <f t="shared" si="3"/>
        <v xml:space="preserve"> </v>
      </c>
      <c r="G99" s="236" t="str">
        <f t="shared" si="3"/>
        <v xml:space="preserve"> </v>
      </c>
      <c r="H99" s="236" t="str">
        <f t="shared" si="3"/>
        <v xml:space="preserve"> </v>
      </c>
      <c r="I99" s="236" t="str">
        <f t="shared" si="3"/>
        <v xml:space="preserve"> </v>
      </c>
      <c r="J99" s="236" t="str">
        <f t="shared" si="3"/>
        <v xml:space="preserve"> </v>
      </c>
      <c r="K99" s="236" t="str">
        <f t="shared" si="3"/>
        <v xml:space="preserve"> </v>
      </c>
      <c r="L99" s="236" t="str">
        <f t="shared" si="3"/>
        <v xml:space="preserve"> </v>
      </c>
      <c r="M99" s="236" t="str">
        <f t="shared" si="3"/>
        <v xml:space="preserve"> </v>
      </c>
      <c r="N99" s="236" t="str">
        <f t="shared" si="3"/>
        <v xml:space="preserve"> </v>
      </c>
      <c r="O99" s="236" t="str">
        <f t="shared" si="3"/>
        <v xml:space="preserve"> </v>
      </c>
      <c r="P99" s="236" t="str">
        <f t="shared" si="3"/>
        <v xml:space="preserve"> </v>
      </c>
      <c r="Q99" s="236" t="str">
        <f t="shared" si="3"/>
        <v xml:space="preserve"> </v>
      </c>
      <c r="R99" s="236" t="str">
        <f t="shared" si="3"/>
        <v xml:space="preserve"> </v>
      </c>
      <c r="S99" s="236" t="str">
        <f t="shared" si="3"/>
        <v xml:space="preserve"> </v>
      </c>
      <c r="T99" s="236" t="str">
        <f t="shared" si="3"/>
        <v xml:space="preserve"> </v>
      </c>
      <c r="U99" s="236" t="str">
        <f t="shared" si="3"/>
        <v xml:space="preserve"> </v>
      </c>
      <c r="V99" s="236" t="str">
        <f t="shared" si="3"/>
        <v xml:space="preserve"> </v>
      </c>
      <c r="W99" s="236" t="str">
        <f t="shared" si="3"/>
        <v xml:space="preserve"> </v>
      </c>
      <c r="X99" s="236" t="str">
        <f t="shared" si="3"/>
        <v xml:space="preserve"> </v>
      </c>
      <c r="Y99" s="236" t="str">
        <f t="shared" si="3"/>
        <v xml:space="preserve"> </v>
      </c>
      <c r="Z99" s="236" t="str">
        <f t="shared" si="3"/>
        <v xml:space="preserve"> </v>
      </c>
      <c r="AA99" s="236" t="str">
        <f t="shared" si="3"/>
        <v xml:space="preserve"> </v>
      </c>
      <c r="AB99" s="236" t="str">
        <f t="shared" si="3"/>
        <v xml:space="preserve"> </v>
      </c>
      <c r="AC99" s="236" t="str">
        <f t="shared" si="3"/>
        <v xml:space="preserve"> </v>
      </c>
      <c r="AD99" s="236" t="str">
        <f t="shared" si="3"/>
        <v xml:space="preserve"> </v>
      </c>
      <c r="AE99" s="236" t="str">
        <f t="shared" si="3"/>
        <v xml:space="preserve"> </v>
      </c>
      <c r="AF99" s="236" t="str">
        <f t="shared" si="3"/>
        <v xml:space="preserve"> </v>
      </c>
      <c r="AG99" s="236" t="str">
        <f t="shared" si="3"/>
        <v xml:space="preserve"> </v>
      </c>
    </row>
    <row r="100" spans="1:33" x14ac:dyDescent="0.2">
      <c r="A100" s="352" t="str">
        <f>inputdata!A42</f>
        <v>septic tank+   (WSP)</v>
      </c>
      <c r="B100" s="352" t="str">
        <f>inputdata!B42</f>
        <v>T4</v>
      </c>
      <c r="C100"/>
      <c r="D100" s="236">
        <f>IF(Variable!$B$4='lifeCycle Costs calculation'!B100,$C$36," ")</f>
        <v>705316.01220127917</v>
      </c>
      <c r="E100" s="236">
        <f t="shared" si="4"/>
        <v>705316.01220127917</v>
      </c>
      <c r="F100" s="236">
        <f t="shared" si="3"/>
        <v>705316.01220127917</v>
      </c>
      <c r="G100" s="236">
        <f t="shared" si="3"/>
        <v>705316.01220127917</v>
      </c>
      <c r="H100" s="236">
        <f t="shared" si="3"/>
        <v>705316.01220127917</v>
      </c>
      <c r="I100" s="236">
        <f t="shared" si="3"/>
        <v>705316.01220127917</v>
      </c>
      <c r="J100" s="236">
        <f t="shared" si="3"/>
        <v>705316.01220127917</v>
      </c>
      <c r="K100" s="236">
        <f t="shared" si="3"/>
        <v>705316.01220127917</v>
      </c>
      <c r="L100" s="236">
        <f t="shared" si="3"/>
        <v>705316.01220127917</v>
      </c>
      <c r="M100" s="236">
        <f t="shared" si="3"/>
        <v>705316.01220127917</v>
      </c>
      <c r="N100" s="236">
        <f t="shared" si="3"/>
        <v>705316.01220127917</v>
      </c>
      <c r="O100" s="236">
        <f t="shared" si="3"/>
        <v>705316.01220127917</v>
      </c>
      <c r="P100" s="236">
        <f t="shared" si="3"/>
        <v>705316.01220127917</v>
      </c>
      <c r="Q100" s="236">
        <f t="shared" si="3"/>
        <v>705316.01220127917</v>
      </c>
      <c r="R100" s="236">
        <f t="shared" si="3"/>
        <v>705316.01220127917</v>
      </c>
      <c r="S100" s="236">
        <f t="shared" si="3"/>
        <v>705316.01220127917</v>
      </c>
      <c r="T100" s="236">
        <f t="shared" si="3"/>
        <v>705316.01220127917</v>
      </c>
      <c r="U100" s="236">
        <f t="shared" si="3"/>
        <v>705316.01220127917</v>
      </c>
      <c r="V100" s="236">
        <f t="shared" si="3"/>
        <v>705316.01220127917</v>
      </c>
      <c r="W100" s="236">
        <f t="shared" si="3"/>
        <v>705316.01220127917</v>
      </c>
      <c r="X100" s="236">
        <f t="shared" si="3"/>
        <v>705316.01220127917</v>
      </c>
      <c r="Y100" s="236">
        <f t="shared" si="3"/>
        <v>705316.01220127917</v>
      </c>
      <c r="Z100" s="236">
        <f t="shared" si="3"/>
        <v>705316.01220127917</v>
      </c>
      <c r="AA100" s="236">
        <f t="shared" si="3"/>
        <v>705316.01220127917</v>
      </c>
      <c r="AB100" s="236">
        <f t="shared" si="3"/>
        <v>705316.01220127917</v>
      </c>
      <c r="AC100" s="236">
        <f t="shared" si="3"/>
        <v>705316.01220127917</v>
      </c>
      <c r="AD100" s="236">
        <f t="shared" si="3"/>
        <v>705316.01220127917</v>
      </c>
      <c r="AE100" s="236">
        <f t="shared" si="3"/>
        <v>705316.01220127917</v>
      </c>
      <c r="AF100" s="236">
        <f t="shared" si="3"/>
        <v>705316.01220127917</v>
      </c>
      <c r="AG100" s="236">
        <f t="shared" si="3"/>
        <v>705316.01220127917</v>
      </c>
    </row>
    <row r="101" spans="1:33" x14ac:dyDescent="0.2">
      <c r="A101" s="352" t="str">
        <f>inputdata!A43</f>
        <v>treatment plant  (WSP)</v>
      </c>
      <c r="B101" s="352" t="str">
        <f>inputdata!B43</f>
        <v>T5</v>
      </c>
      <c r="C101"/>
      <c r="D101" s="236" t="str">
        <f>IF(Variable!$B$4='lifeCycle Costs calculation'!$B101,$C$36*(1+inputdata!$E$4)^('lifeCycle Costs calculation'!E$38-1)," ")</f>
        <v xml:space="preserve"> </v>
      </c>
      <c r="E101" s="236" t="str">
        <f>IF(Variable!$B$4='lifeCycle Costs calculation'!$B101,$C$36*(1+inputdata!$E$4)^('lifeCycle Costs calculation'!F$38-1)," ")</f>
        <v xml:space="preserve"> </v>
      </c>
      <c r="F101" s="236" t="str">
        <f>IF(Variable!$B$4='lifeCycle Costs calculation'!$B101,$C$36*(1+inputdata!$E$4)^('lifeCycle Costs calculation'!G$38-1)," ")</f>
        <v xml:space="preserve"> </v>
      </c>
      <c r="G101" s="236" t="str">
        <f>IF(Variable!$B$4='lifeCycle Costs calculation'!$B101,$C$36*(1+inputdata!$E$4)^('lifeCycle Costs calculation'!H$38-1)," ")</f>
        <v xml:space="preserve"> </v>
      </c>
      <c r="H101" s="236" t="str">
        <f>IF(Variable!$B$4='lifeCycle Costs calculation'!$B101,$C$36*(1+inputdata!$E$4)^('lifeCycle Costs calculation'!I$38-1)," ")</f>
        <v xml:space="preserve"> </v>
      </c>
      <c r="I101" s="236" t="str">
        <f>IF(Variable!$B$4='lifeCycle Costs calculation'!$B101,$C$36*(1+inputdata!$E$4)^('lifeCycle Costs calculation'!J$38-1)," ")</f>
        <v xml:space="preserve"> </v>
      </c>
      <c r="J101" s="236" t="str">
        <f>IF(Variable!$B$4='lifeCycle Costs calculation'!$B101,$C$36*(1+inputdata!$E$4)^('lifeCycle Costs calculation'!K$38-1)," ")</f>
        <v xml:space="preserve"> </v>
      </c>
      <c r="K101" s="236" t="str">
        <f>IF(Variable!$B$4='lifeCycle Costs calculation'!$B101,$C$36*(1+inputdata!$E$4)^('lifeCycle Costs calculation'!L$38-1)," ")</f>
        <v xml:space="preserve"> </v>
      </c>
      <c r="L101" s="236" t="str">
        <f>IF(Variable!$B$4='lifeCycle Costs calculation'!$B101,$C$36*(1+inputdata!$E$4)^('lifeCycle Costs calculation'!M$38-1)," ")</f>
        <v xml:space="preserve"> </v>
      </c>
      <c r="M101" s="236" t="str">
        <f>IF(Variable!$B$4='lifeCycle Costs calculation'!$B101,$C$36*(1+inputdata!$E$4)^('lifeCycle Costs calculation'!N$38-1)," ")</f>
        <v xml:space="preserve"> </v>
      </c>
      <c r="N101" s="236" t="str">
        <f>IF(Variable!$B$4='lifeCycle Costs calculation'!$B101,$C$36*(1+inputdata!$E$4)^('lifeCycle Costs calculation'!O$38-1)," ")</f>
        <v xml:space="preserve"> </v>
      </c>
      <c r="O101" s="236" t="str">
        <f>IF(Variable!$B$4='lifeCycle Costs calculation'!$B101,$C$36*(1+inputdata!$E$4)^('lifeCycle Costs calculation'!P$38-1)," ")</f>
        <v xml:space="preserve"> </v>
      </c>
      <c r="P101" s="236" t="str">
        <f>IF(Variable!$B$4='lifeCycle Costs calculation'!$B101,$C$36*(1+inputdata!$E$4)^('lifeCycle Costs calculation'!Q$38-1)," ")</f>
        <v xml:space="preserve"> </v>
      </c>
      <c r="Q101" s="236" t="str">
        <f>IF(Variable!$B$4='lifeCycle Costs calculation'!$B101,$C$36*(1+inputdata!$E$4)^('lifeCycle Costs calculation'!R$38-1)," ")</f>
        <v xml:space="preserve"> </v>
      </c>
      <c r="R101" s="236" t="str">
        <f>IF(Variable!$B$4='lifeCycle Costs calculation'!$B101,$C$36*(1+inputdata!$E$4)^('lifeCycle Costs calculation'!S$38-1)," ")</f>
        <v xml:space="preserve"> </v>
      </c>
      <c r="S101" s="236" t="str">
        <f>IF(Variable!$B$4='lifeCycle Costs calculation'!$B101,$C$36*(1+inputdata!$E$4)^('lifeCycle Costs calculation'!T$38-1)," ")</f>
        <v xml:space="preserve"> </v>
      </c>
      <c r="T101" s="236" t="str">
        <f>IF(Variable!$B$4='lifeCycle Costs calculation'!$B101,$C$36*(1+inputdata!$E$4)^('lifeCycle Costs calculation'!U$38-1)," ")</f>
        <v xml:space="preserve"> </v>
      </c>
      <c r="U101" s="236" t="str">
        <f>IF(Variable!$B$4='lifeCycle Costs calculation'!$B101,$C$36*(1+inputdata!$E$4)^('lifeCycle Costs calculation'!V$38-1)," ")</f>
        <v xml:space="preserve"> </v>
      </c>
      <c r="V101" s="236" t="str">
        <f>IF(Variable!$B$4='lifeCycle Costs calculation'!$B101,$C$36*(1+inputdata!$E$4)^('lifeCycle Costs calculation'!W$38-1)," ")</f>
        <v xml:space="preserve"> </v>
      </c>
      <c r="W101" s="236" t="str">
        <f>IF(Variable!$B$4='lifeCycle Costs calculation'!$B101,$C$36*(1+inputdata!$E$4)^('lifeCycle Costs calculation'!X$38-1)," ")</f>
        <v xml:space="preserve"> </v>
      </c>
      <c r="X101" s="236" t="str">
        <f>IF(Variable!$B$4='lifeCycle Costs calculation'!$B101,$C$36*(1+inputdata!$E$4)^('lifeCycle Costs calculation'!Y$38-1)," ")</f>
        <v xml:space="preserve"> </v>
      </c>
      <c r="Y101" s="236" t="str">
        <f>IF(Variable!$B$4='lifeCycle Costs calculation'!$B101,$C$36*(1+inputdata!$E$4)^('lifeCycle Costs calculation'!Z$38-1)," ")</f>
        <v xml:space="preserve"> </v>
      </c>
      <c r="Z101" s="236" t="str">
        <f>IF(Variable!$B$4='lifeCycle Costs calculation'!$B101,$C$36*(1+inputdata!$E$4)^('lifeCycle Costs calculation'!AA$38-1)," ")</f>
        <v xml:space="preserve"> </v>
      </c>
      <c r="AA101" s="236" t="str">
        <f>IF(Variable!$B$4='lifeCycle Costs calculation'!$B101,$C$36*(1+inputdata!$E$4)^('lifeCycle Costs calculation'!AB$38-1)," ")</f>
        <v xml:space="preserve"> </v>
      </c>
      <c r="AB101" s="236" t="str">
        <f>IF(Variable!$B$4='lifeCycle Costs calculation'!$B101,$C$36*(1+inputdata!$E$4)^('lifeCycle Costs calculation'!AC$38-1)," ")</f>
        <v xml:space="preserve"> </v>
      </c>
      <c r="AC101" s="236" t="str">
        <f>IF(Variable!$B$4='lifeCycle Costs calculation'!$B101,$C$36*(1+inputdata!$E$4)^('lifeCycle Costs calculation'!AD$38-1)," ")</f>
        <v xml:space="preserve"> </v>
      </c>
      <c r="AD101" s="236" t="str">
        <f>IF(Variable!$B$4='lifeCycle Costs calculation'!$B101,$C$36*(1+inputdata!$E$4)^('lifeCycle Costs calculation'!AE$38-1)," ")</f>
        <v xml:space="preserve"> </v>
      </c>
      <c r="AE101" s="236" t="str">
        <f>IF(Variable!$B$4='lifeCycle Costs calculation'!$B101,$C$36*(1+inputdata!$E$4)^('lifeCycle Costs calculation'!AF$38-1)," ")</f>
        <v xml:space="preserve"> </v>
      </c>
      <c r="AF101" s="236" t="str">
        <f>IF(Variable!$B$4='lifeCycle Costs calculation'!$B101,$C$36*(1+inputdata!$E$4)^('lifeCycle Costs calculation'!AG$38-1)," ")</f>
        <v xml:space="preserve"> </v>
      </c>
      <c r="AG101" s="236" t="str">
        <f>IF(Variable!$B$4='lifeCycle Costs calculation'!$B101,$C$36*(1+inputdata!$E$4)^('lifeCycle Costs calculation'!AH$38-1)," ")</f>
        <v xml:space="preserve"> </v>
      </c>
    </row>
    <row r="102" spans="1:33" ht="12" customHeight="1" x14ac:dyDescent="0.2">
      <c r="A102" s="352" t="str">
        <f>inputdata!A44</f>
        <v>treatment plant (Conventional activated sludge+ disinfection)</v>
      </c>
      <c r="B102" s="352" t="str">
        <f>inputdata!B44</f>
        <v>T6</v>
      </c>
      <c r="C102"/>
      <c r="D102" s="236" t="str">
        <f>IF(Variable!$B$4='lifeCycle Costs calculation'!$B102,$C$36*(1+inputdata!$E$4)^('lifeCycle Costs calculation'!E$38-1)," ")</f>
        <v xml:space="preserve"> </v>
      </c>
      <c r="E102" s="236" t="str">
        <f>IF(Variable!$B$4='lifeCycle Costs calculation'!$B102,$C$36*(1+inputdata!$E$4)^('lifeCycle Costs calculation'!F$38-1)," ")</f>
        <v xml:space="preserve"> </v>
      </c>
      <c r="F102" s="236" t="str">
        <f>IF(Variable!$B$4='lifeCycle Costs calculation'!$B102,$C$36*(1+inputdata!$E$4)^('lifeCycle Costs calculation'!G$38-1)," ")</f>
        <v xml:space="preserve"> </v>
      </c>
      <c r="G102" s="236" t="str">
        <f>IF(Variable!$B$4='lifeCycle Costs calculation'!$B102,$C$36*(1+inputdata!$E$4)^('lifeCycle Costs calculation'!H$38-1)," ")</f>
        <v xml:space="preserve"> </v>
      </c>
      <c r="H102" s="236" t="str">
        <f>IF(Variable!$B$4='lifeCycle Costs calculation'!$B102,$C$36*(1+inputdata!$E$4)^('lifeCycle Costs calculation'!I$38-1)," ")</f>
        <v xml:space="preserve"> </v>
      </c>
      <c r="I102" s="236" t="str">
        <f>IF(Variable!$B$4='lifeCycle Costs calculation'!$B102,$C$36*(1+inputdata!$E$4)^('lifeCycle Costs calculation'!J$38-1)," ")</f>
        <v xml:space="preserve"> </v>
      </c>
      <c r="J102" s="236" t="str">
        <f>IF(Variable!$B$4='lifeCycle Costs calculation'!$B102,$C$36*(1+inputdata!$E$4)^('lifeCycle Costs calculation'!K$38-1)," ")</f>
        <v xml:space="preserve"> </v>
      </c>
      <c r="K102" s="236" t="str">
        <f>IF(Variable!$B$4='lifeCycle Costs calculation'!$B102,$C$36*(1+inputdata!$E$4)^('lifeCycle Costs calculation'!L$38-1)," ")</f>
        <v xml:space="preserve"> </v>
      </c>
      <c r="L102" s="236" t="str">
        <f>IF(Variable!$B$4='lifeCycle Costs calculation'!$B102,$C$36*(1+inputdata!$E$4)^('lifeCycle Costs calculation'!M$38-1)," ")</f>
        <v xml:space="preserve"> </v>
      </c>
      <c r="M102" s="236" t="str">
        <f>IF(Variable!$B$4='lifeCycle Costs calculation'!$B102,$C$36*(1+inputdata!$E$4)^('lifeCycle Costs calculation'!N$38-1)," ")</f>
        <v xml:space="preserve"> </v>
      </c>
      <c r="N102" s="236" t="str">
        <f>IF(Variable!$B$4='lifeCycle Costs calculation'!$B102,$C$36*(1+inputdata!$E$4)^('lifeCycle Costs calculation'!O$38-1)," ")</f>
        <v xml:space="preserve"> </v>
      </c>
      <c r="O102" s="236" t="str">
        <f>IF(Variable!$B$4='lifeCycle Costs calculation'!$B102,$C$36*(1+inputdata!$E$4)^('lifeCycle Costs calculation'!P$38-1)," ")</f>
        <v xml:space="preserve"> </v>
      </c>
      <c r="P102" s="236" t="str">
        <f>IF(Variable!$B$4='lifeCycle Costs calculation'!$B102,$C$36*(1+inputdata!$E$4)^('lifeCycle Costs calculation'!Q$38-1)," ")</f>
        <v xml:space="preserve"> </v>
      </c>
      <c r="Q102" s="236" t="str">
        <f>IF(Variable!$B$4='lifeCycle Costs calculation'!$B102,$C$36*(1+inputdata!$E$4)^('lifeCycle Costs calculation'!R$38-1)," ")</f>
        <v xml:space="preserve"> </v>
      </c>
      <c r="R102" s="236" t="str">
        <f>IF(Variable!$B$4='lifeCycle Costs calculation'!$B102,$C$36*(1+inputdata!$E$4)^('lifeCycle Costs calculation'!S$38-1)," ")</f>
        <v xml:space="preserve"> </v>
      </c>
      <c r="S102" s="236" t="str">
        <f>IF(Variable!$B$4='lifeCycle Costs calculation'!$B102,$C$36*(1+inputdata!$E$4)^('lifeCycle Costs calculation'!T$38-1)," ")</f>
        <v xml:space="preserve"> </v>
      </c>
      <c r="T102" s="236" t="str">
        <f>IF(Variable!$B$4='lifeCycle Costs calculation'!$B102,$C$36*(1+inputdata!$E$4)^('lifeCycle Costs calculation'!U$38-1)," ")</f>
        <v xml:space="preserve"> </v>
      </c>
      <c r="U102" s="236" t="str">
        <f>IF(Variable!$B$4='lifeCycle Costs calculation'!$B102,$C$36*(1+inputdata!$E$4)^('lifeCycle Costs calculation'!V$38-1)," ")</f>
        <v xml:space="preserve"> </v>
      </c>
      <c r="V102" s="236" t="str">
        <f>IF(Variable!$B$4='lifeCycle Costs calculation'!$B102,$C$36*(1+inputdata!$E$4)^('lifeCycle Costs calculation'!W$38-1)," ")</f>
        <v xml:space="preserve"> </v>
      </c>
      <c r="W102" s="236" t="str">
        <f>IF(Variable!$B$4='lifeCycle Costs calculation'!$B102,$C$36*(1+inputdata!$E$4)^('lifeCycle Costs calculation'!X$38-1)," ")</f>
        <v xml:space="preserve"> </v>
      </c>
      <c r="X102" s="236" t="str">
        <f>IF(Variable!$B$4='lifeCycle Costs calculation'!$B102,$C$36*(1+inputdata!$E$4)^('lifeCycle Costs calculation'!Y$38-1)," ")</f>
        <v xml:space="preserve"> </v>
      </c>
      <c r="Y102" s="236" t="str">
        <f>IF(Variable!$B$4='lifeCycle Costs calculation'!$B102,$C$36*(1+inputdata!$E$4)^('lifeCycle Costs calculation'!Z$38-1)," ")</f>
        <v xml:space="preserve"> </v>
      </c>
      <c r="Z102" s="236" t="str">
        <f>IF(Variable!$B$4='lifeCycle Costs calculation'!$B102,$C$36*(1+inputdata!$E$4)^('lifeCycle Costs calculation'!AA$38-1)," ")</f>
        <v xml:space="preserve"> </v>
      </c>
      <c r="AA102" s="236" t="str">
        <f>IF(Variable!$B$4='lifeCycle Costs calculation'!$B102,$C$36*(1+inputdata!$E$4)^('lifeCycle Costs calculation'!AB$38-1)," ")</f>
        <v xml:space="preserve"> </v>
      </c>
      <c r="AB102" s="236" t="str">
        <f>IF(Variable!$B$4='lifeCycle Costs calculation'!$B102,$C$36*(1+inputdata!$E$4)^('lifeCycle Costs calculation'!AC$38-1)," ")</f>
        <v xml:space="preserve"> </v>
      </c>
      <c r="AC102" s="236" t="str">
        <f>IF(Variable!$B$4='lifeCycle Costs calculation'!$B102,$C$36*(1+inputdata!$E$4)^('lifeCycle Costs calculation'!AD$38-1)," ")</f>
        <v xml:space="preserve"> </v>
      </c>
      <c r="AD102" s="236" t="str">
        <f>IF(Variable!$B$4='lifeCycle Costs calculation'!$B102,$C$36*(1+inputdata!$E$4)^('lifeCycle Costs calculation'!AE$38-1)," ")</f>
        <v xml:space="preserve"> </v>
      </c>
      <c r="AE102" s="236" t="str">
        <f>IF(Variable!$B$4='lifeCycle Costs calculation'!$B102,$C$36*(1+inputdata!$E$4)^('lifeCycle Costs calculation'!AF$38-1)," ")</f>
        <v xml:space="preserve"> </v>
      </c>
      <c r="AF102" s="236" t="str">
        <f>IF(Variable!$B$4='lifeCycle Costs calculation'!$B102,$C$36*(1+inputdata!$E$4)^('lifeCycle Costs calculation'!AG$38-1)," ")</f>
        <v xml:space="preserve"> </v>
      </c>
      <c r="AG102" s="236" t="str">
        <f>IF(Variable!$B$4='lifeCycle Costs calculation'!$B102,$C$36*(1+inputdata!$E$4)^('lifeCycle Costs calculation'!AH$38-1)," ")</f>
        <v xml:space="preserve"> </v>
      </c>
    </row>
    <row r="103" spans="1:33" ht="21" customHeight="1" x14ac:dyDescent="0.2">
      <c r="A103" s="352" t="str">
        <f>inputdata!A45</f>
        <v>Activated sludge+ Biological Nitrogen Removal (MLE)+ disinfection</v>
      </c>
      <c r="B103" s="352" t="str">
        <f>inputdata!B45</f>
        <v>T7</v>
      </c>
      <c r="C103"/>
      <c r="D103" s="236" t="str">
        <f>IF(Variable!$B$4='lifeCycle Costs calculation'!$B103,$C$36*(1+inputdata!$E$4)^('lifeCycle Costs calculation'!E$38-1)," ")</f>
        <v xml:space="preserve"> </v>
      </c>
      <c r="E103" s="236" t="str">
        <f>IF(Variable!$B$4='lifeCycle Costs calculation'!$B103,$C$36*(1+inputdata!$E$4)^('lifeCycle Costs calculation'!F$38-1)," ")</f>
        <v xml:space="preserve"> </v>
      </c>
      <c r="F103" s="236" t="str">
        <f>IF(Variable!$B$4='lifeCycle Costs calculation'!$B103,$C$36*(1+inputdata!$E$4)^('lifeCycle Costs calculation'!G$38-1)," ")</f>
        <v xml:space="preserve"> </v>
      </c>
      <c r="G103" s="236" t="str">
        <f>IF(Variable!$B$4='lifeCycle Costs calculation'!$B103,$C$36*(1+inputdata!$E$4)^('lifeCycle Costs calculation'!H$38-1)," ")</f>
        <v xml:space="preserve"> </v>
      </c>
      <c r="H103" s="236" t="str">
        <f>IF(Variable!$B$4='lifeCycle Costs calculation'!$B103,$C$36*(1+inputdata!$E$4)^('lifeCycle Costs calculation'!I$38-1)," ")</f>
        <v xml:space="preserve"> </v>
      </c>
      <c r="I103" s="236" t="str">
        <f>IF(Variable!$B$4='lifeCycle Costs calculation'!$B103,$C$36*(1+inputdata!$E$4)^('lifeCycle Costs calculation'!J$38-1)," ")</f>
        <v xml:space="preserve"> </v>
      </c>
      <c r="J103" s="236" t="str">
        <f>IF(Variable!$B$4='lifeCycle Costs calculation'!$B103,$C$36*(1+inputdata!$E$4)^('lifeCycle Costs calculation'!K$38-1)," ")</f>
        <v xml:space="preserve"> </v>
      </c>
      <c r="K103" s="236" t="str">
        <f>IF(Variable!$B$4='lifeCycle Costs calculation'!$B103,$C$36*(1+inputdata!$E$4)^('lifeCycle Costs calculation'!L$38-1)," ")</f>
        <v xml:space="preserve"> </v>
      </c>
      <c r="L103" s="236" t="str">
        <f>IF(Variable!$B$4='lifeCycle Costs calculation'!$B103,$C$36*(1+inputdata!$E$4)^('lifeCycle Costs calculation'!M$38-1)," ")</f>
        <v xml:space="preserve"> </v>
      </c>
      <c r="M103" s="236" t="str">
        <f>IF(Variable!$B$4='lifeCycle Costs calculation'!$B103,$C$36*(1+inputdata!$E$4)^('lifeCycle Costs calculation'!N$38-1)," ")</f>
        <v xml:space="preserve"> </v>
      </c>
      <c r="N103" s="236" t="str">
        <f>IF(Variable!$B$4='lifeCycle Costs calculation'!$B103,$C$36*(1+inputdata!$E$4)^('lifeCycle Costs calculation'!O$38-1)," ")</f>
        <v xml:space="preserve"> </v>
      </c>
      <c r="O103" s="236" t="str">
        <f>IF(Variable!$B$4='lifeCycle Costs calculation'!$B103,$C$36*(1+inputdata!$E$4)^('lifeCycle Costs calculation'!P$38-1)," ")</f>
        <v xml:space="preserve"> </v>
      </c>
      <c r="P103" s="236" t="str">
        <f>IF(Variable!$B$4='lifeCycle Costs calculation'!$B103,$C$36*(1+inputdata!$E$4)^('lifeCycle Costs calculation'!Q$38-1)," ")</f>
        <v xml:space="preserve"> </v>
      </c>
      <c r="Q103" s="236" t="str">
        <f>IF(Variable!$B$4='lifeCycle Costs calculation'!$B103,$C$36*(1+inputdata!$E$4)^('lifeCycle Costs calculation'!R$38-1)," ")</f>
        <v xml:space="preserve"> </v>
      </c>
      <c r="R103" s="236" t="str">
        <f>IF(Variable!$B$4='lifeCycle Costs calculation'!$B103,$C$36*(1+inputdata!$E$4)^('lifeCycle Costs calculation'!S$38-1)," ")</f>
        <v xml:space="preserve"> </v>
      </c>
      <c r="S103" s="236" t="str">
        <f>IF(Variable!$B$4='lifeCycle Costs calculation'!$B103,$C$36*(1+inputdata!$E$4)^('lifeCycle Costs calculation'!T$38-1)," ")</f>
        <v xml:space="preserve"> </v>
      </c>
      <c r="T103" s="236" t="str">
        <f>IF(Variable!$B$4='lifeCycle Costs calculation'!$B103,$C$36*(1+inputdata!$E$4)^('lifeCycle Costs calculation'!U$38-1)," ")</f>
        <v xml:space="preserve"> </v>
      </c>
      <c r="U103" s="236" t="str">
        <f>IF(Variable!$B$4='lifeCycle Costs calculation'!$B103,$C$36*(1+inputdata!$E$4)^('lifeCycle Costs calculation'!V$38-1)," ")</f>
        <v xml:space="preserve"> </v>
      </c>
      <c r="V103" s="236" t="str">
        <f>IF(Variable!$B$4='lifeCycle Costs calculation'!$B103,$C$36*(1+inputdata!$E$4)^('lifeCycle Costs calculation'!W$38-1)," ")</f>
        <v xml:space="preserve"> </v>
      </c>
      <c r="W103" s="236" t="str">
        <f>IF(Variable!$B$4='lifeCycle Costs calculation'!$B103,$C$36*(1+inputdata!$E$4)^('lifeCycle Costs calculation'!X$38-1)," ")</f>
        <v xml:space="preserve"> </v>
      </c>
      <c r="X103" s="236" t="str">
        <f>IF(Variable!$B$4='lifeCycle Costs calculation'!$B103,$C$36*(1+inputdata!$E$4)^('lifeCycle Costs calculation'!Y$38-1)," ")</f>
        <v xml:space="preserve"> </v>
      </c>
      <c r="Y103" s="236" t="str">
        <f>IF(Variable!$B$4='lifeCycle Costs calculation'!$B103,$C$36*(1+inputdata!$E$4)^('lifeCycle Costs calculation'!Z$38-1)," ")</f>
        <v xml:space="preserve"> </v>
      </c>
      <c r="Z103" s="236" t="str">
        <f>IF(Variable!$B$4='lifeCycle Costs calculation'!$B103,$C$36*(1+inputdata!$E$4)^('lifeCycle Costs calculation'!AA$38-1)," ")</f>
        <v xml:space="preserve"> </v>
      </c>
      <c r="AA103" s="236" t="str">
        <f>IF(Variable!$B$4='lifeCycle Costs calculation'!$B103,$C$36*(1+inputdata!$E$4)^('lifeCycle Costs calculation'!AB$38-1)," ")</f>
        <v xml:space="preserve"> </v>
      </c>
      <c r="AB103" s="236" t="str">
        <f>IF(Variable!$B$4='lifeCycle Costs calculation'!$B103,$C$36*(1+inputdata!$E$4)^('lifeCycle Costs calculation'!AC$38-1)," ")</f>
        <v xml:space="preserve"> </v>
      </c>
      <c r="AC103" s="236" t="str">
        <f>IF(Variable!$B$4='lifeCycle Costs calculation'!$B103,$C$36*(1+inputdata!$E$4)^('lifeCycle Costs calculation'!AD$38-1)," ")</f>
        <v xml:space="preserve"> </v>
      </c>
      <c r="AD103" s="236" t="str">
        <f>IF(Variable!$B$4='lifeCycle Costs calculation'!$B103,$C$36*(1+inputdata!$E$4)^('lifeCycle Costs calculation'!AE$38-1)," ")</f>
        <v xml:space="preserve"> </v>
      </c>
      <c r="AE103" s="236" t="str">
        <f>IF(Variable!$B$4='lifeCycle Costs calculation'!$B103,$C$36*(1+inputdata!$E$4)^('lifeCycle Costs calculation'!AF$38-1)," ")</f>
        <v xml:space="preserve"> </v>
      </c>
      <c r="AF103" s="236" t="str">
        <f>IF(Variable!$B$4='lifeCycle Costs calculation'!$B103,$C$36*(1+inputdata!$E$4)^('lifeCycle Costs calculation'!AG$38-1)," ")</f>
        <v xml:space="preserve"> </v>
      </c>
      <c r="AG103" s="236" t="str">
        <f>IF(Variable!$B$4='lifeCycle Costs calculation'!$B103,$C$36*(1+inputdata!$E$4)^('lifeCycle Costs calculation'!AH$38-1)," ")</f>
        <v xml:space="preserve"> </v>
      </c>
    </row>
    <row r="104" spans="1:33" ht="21" customHeight="1" x14ac:dyDescent="0.2">
      <c r="A104" s="352" t="str">
        <f>inputdata!A46</f>
        <v>Activated sludge+ Ultrfiltration+ reverse osmosis</v>
      </c>
      <c r="B104" s="352" t="str">
        <f>inputdata!B46</f>
        <v>T8</v>
      </c>
      <c r="C104"/>
      <c r="D104" s="236" t="str">
        <f>IF(Variable!$B$4='lifeCycle Costs calculation'!$B104,$C$36*(1+inputdata!$E$4)^('lifeCycle Costs calculation'!E$38-1)," ")</f>
        <v xml:space="preserve"> </v>
      </c>
      <c r="E104" s="236" t="str">
        <f>IF(Variable!$B$4='lifeCycle Costs calculation'!$B104,$C$36*(1+inputdata!$E$4)^('lifeCycle Costs calculation'!F$38-1)," ")</f>
        <v xml:space="preserve"> </v>
      </c>
      <c r="F104" s="236" t="str">
        <f>IF(Variable!$B$4='lifeCycle Costs calculation'!$B104,$C$36*(1+inputdata!$E$4)^('lifeCycle Costs calculation'!G$38-1)," ")</f>
        <v xml:space="preserve"> </v>
      </c>
      <c r="G104" s="236" t="str">
        <f>IF(Variable!$B$4='lifeCycle Costs calculation'!$B104,$C$36*(1+inputdata!$E$4)^('lifeCycle Costs calculation'!H$38-1)," ")</f>
        <v xml:space="preserve"> </v>
      </c>
      <c r="H104" s="236" t="str">
        <f>IF(Variable!$B$4='lifeCycle Costs calculation'!$B104,$C$36*(1+inputdata!$E$4)^('lifeCycle Costs calculation'!I$38-1)," ")</f>
        <v xml:space="preserve"> </v>
      </c>
      <c r="I104" s="236" t="str">
        <f>IF(Variable!$B$4='lifeCycle Costs calculation'!$B104,$C$36*(1+inputdata!$E$4)^('lifeCycle Costs calculation'!J$38-1)," ")</f>
        <v xml:space="preserve"> </v>
      </c>
      <c r="J104" s="236" t="str">
        <f>IF(Variable!$B$4='lifeCycle Costs calculation'!$B104,$C$36*(1+inputdata!$E$4)^('lifeCycle Costs calculation'!K$38-1)," ")</f>
        <v xml:space="preserve"> </v>
      </c>
      <c r="K104" s="236" t="str">
        <f>IF(Variable!$B$4='lifeCycle Costs calculation'!$B104,$C$36*(1+inputdata!$E$4)^('lifeCycle Costs calculation'!L$38-1)," ")</f>
        <v xml:space="preserve"> </v>
      </c>
      <c r="L104" s="236" t="str">
        <f>IF(Variable!$B$4='lifeCycle Costs calculation'!$B104,$C$36*(1+inputdata!$E$4)^('lifeCycle Costs calculation'!M$38-1)," ")</f>
        <v xml:space="preserve"> </v>
      </c>
      <c r="M104" s="236" t="str">
        <f>IF(Variable!$B$4='lifeCycle Costs calculation'!$B104,$C$36*(1+inputdata!$E$4)^('lifeCycle Costs calculation'!N$38-1)," ")</f>
        <v xml:space="preserve"> </v>
      </c>
      <c r="N104" s="236" t="str">
        <f>IF(Variable!$B$4='lifeCycle Costs calculation'!$B104,$C$36*(1+inputdata!$E$4)^('lifeCycle Costs calculation'!O$38-1)," ")</f>
        <v xml:space="preserve"> </v>
      </c>
      <c r="O104" s="236" t="str">
        <f>IF(Variable!$B$4='lifeCycle Costs calculation'!$B104,$C$36*(1+inputdata!$E$4)^('lifeCycle Costs calculation'!P$38-1)," ")</f>
        <v xml:space="preserve"> </v>
      </c>
      <c r="P104" s="236" t="str">
        <f>IF(Variable!$B$4='lifeCycle Costs calculation'!$B104,$C$36*(1+inputdata!$E$4)^('lifeCycle Costs calculation'!Q$38-1)," ")</f>
        <v xml:space="preserve"> </v>
      </c>
      <c r="Q104" s="236" t="str">
        <f>IF(Variable!$B$4='lifeCycle Costs calculation'!$B104,$C$36*(1+inputdata!$E$4)^('lifeCycle Costs calculation'!R$38-1)," ")</f>
        <v xml:space="preserve"> </v>
      </c>
      <c r="R104" s="236" t="str">
        <f>IF(Variable!$B$4='lifeCycle Costs calculation'!$B104,$C$36*(1+inputdata!$E$4)^('lifeCycle Costs calculation'!S$38-1)," ")</f>
        <v xml:space="preserve"> </v>
      </c>
      <c r="S104" s="236" t="str">
        <f>IF(Variable!$B$4='lifeCycle Costs calculation'!$B104,$C$36*(1+inputdata!$E$4)^('lifeCycle Costs calculation'!T$38-1)," ")</f>
        <v xml:space="preserve"> </v>
      </c>
      <c r="T104" s="236" t="str">
        <f>IF(Variable!$B$4='lifeCycle Costs calculation'!$B104,$C$36*(1+inputdata!$E$4)^('lifeCycle Costs calculation'!U$38-1)," ")</f>
        <v xml:space="preserve"> </v>
      </c>
      <c r="U104" s="236" t="str">
        <f>IF(Variable!$B$4='lifeCycle Costs calculation'!$B104,$C$36*(1+inputdata!$E$4)^('lifeCycle Costs calculation'!V$38-1)," ")</f>
        <v xml:space="preserve"> </v>
      </c>
      <c r="V104" s="236" t="str">
        <f>IF(Variable!$B$4='lifeCycle Costs calculation'!$B104,$C$36*(1+inputdata!$E$4)^('lifeCycle Costs calculation'!W$38-1)," ")</f>
        <v xml:space="preserve"> </v>
      </c>
      <c r="W104" s="236" t="str">
        <f>IF(Variable!$B$4='lifeCycle Costs calculation'!$B104,$C$36*(1+inputdata!$E$4)^('lifeCycle Costs calculation'!X$38-1)," ")</f>
        <v xml:space="preserve"> </v>
      </c>
      <c r="X104" s="236" t="str">
        <f>IF(Variable!$B$4='lifeCycle Costs calculation'!$B104,$C$36*(1+inputdata!$E$4)^('lifeCycle Costs calculation'!Y$38-1)," ")</f>
        <v xml:space="preserve"> </v>
      </c>
      <c r="Y104" s="236" t="str">
        <f>IF(Variable!$B$4='lifeCycle Costs calculation'!$B104,$C$36*(1+inputdata!$E$4)^('lifeCycle Costs calculation'!Z$38-1)," ")</f>
        <v xml:space="preserve"> </v>
      </c>
      <c r="Z104" s="236" t="str">
        <f>IF(Variable!$B$4='lifeCycle Costs calculation'!$B104,$C$36*(1+inputdata!$E$4)^('lifeCycle Costs calculation'!AA$38-1)," ")</f>
        <v xml:space="preserve"> </v>
      </c>
      <c r="AA104" s="236" t="str">
        <f>IF(Variable!$B$4='lifeCycle Costs calculation'!$B104,$C$36*(1+inputdata!$E$4)^('lifeCycle Costs calculation'!AB$38-1)," ")</f>
        <v xml:space="preserve"> </v>
      </c>
      <c r="AB104" s="236" t="str">
        <f>IF(Variable!$B$4='lifeCycle Costs calculation'!$B104,$C$36*(1+inputdata!$E$4)^('lifeCycle Costs calculation'!AC$38-1)," ")</f>
        <v xml:space="preserve"> </v>
      </c>
      <c r="AC104" s="236" t="str">
        <f>IF(Variable!$B$4='lifeCycle Costs calculation'!$B104,$C$36*(1+inputdata!$E$4)^('lifeCycle Costs calculation'!AD$38-1)," ")</f>
        <v xml:space="preserve"> </v>
      </c>
      <c r="AD104" s="236" t="str">
        <f>IF(Variable!$B$4='lifeCycle Costs calculation'!$B104,$C$36*(1+inputdata!$E$4)^('lifeCycle Costs calculation'!AE$38-1)," ")</f>
        <v xml:space="preserve"> </v>
      </c>
      <c r="AE104" s="236" t="str">
        <f>IF(Variable!$B$4='lifeCycle Costs calculation'!$B104,$C$36*(1+inputdata!$E$4)^('lifeCycle Costs calculation'!AF$38-1)," ")</f>
        <v xml:space="preserve"> </v>
      </c>
      <c r="AF104" s="236" t="str">
        <f>IF(Variable!$B$4='lifeCycle Costs calculation'!$B104,$C$36*(1+inputdata!$E$4)^('lifeCycle Costs calculation'!AG$38-1)," ")</f>
        <v xml:space="preserve"> </v>
      </c>
      <c r="AG104" s="236" t="str">
        <f>IF(Variable!$B$4='lifeCycle Costs calculation'!$B104,$C$36*(1+inputdata!$E$4)^('lifeCycle Costs calculation'!AH$38-1)," ")</f>
        <v xml:space="preserve"> </v>
      </c>
    </row>
    <row r="105" spans="1:33" x14ac:dyDescent="0.2">
      <c r="A105"/>
      <c r="C105"/>
    </row>
    <row r="106" spans="1:33" ht="15" x14ac:dyDescent="0.2">
      <c r="A106" s="477" t="s">
        <v>228</v>
      </c>
      <c r="B106" s="478"/>
      <c r="C106" s="209">
        <v>0</v>
      </c>
      <c r="D106" s="209">
        <v>1</v>
      </c>
      <c r="E106" s="209">
        <v>2</v>
      </c>
      <c r="F106" s="209">
        <v>3</v>
      </c>
      <c r="G106" s="209">
        <v>4</v>
      </c>
      <c r="H106" s="209">
        <v>5</v>
      </c>
      <c r="I106" s="209">
        <v>6</v>
      </c>
      <c r="J106" s="209">
        <v>7</v>
      </c>
      <c r="K106" s="209">
        <v>8</v>
      </c>
      <c r="L106" s="209">
        <v>9</v>
      </c>
      <c r="M106" s="209">
        <v>10</v>
      </c>
      <c r="N106" s="209">
        <v>11</v>
      </c>
      <c r="O106" s="209">
        <v>12</v>
      </c>
      <c r="P106" s="209">
        <v>13</v>
      </c>
      <c r="Q106" s="209">
        <v>14</v>
      </c>
      <c r="R106" s="209">
        <v>15</v>
      </c>
      <c r="S106" s="209">
        <v>16</v>
      </c>
      <c r="T106" s="209">
        <v>17</v>
      </c>
      <c r="U106" s="209">
        <v>18</v>
      </c>
      <c r="V106" s="209">
        <v>19</v>
      </c>
      <c r="W106" s="209">
        <v>20</v>
      </c>
      <c r="X106" s="209">
        <v>21</v>
      </c>
      <c r="Y106" s="209">
        <v>22</v>
      </c>
      <c r="Z106" s="209">
        <v>23</v>
      </c>
      <c r="AA106" s="209">
        <v>24</v>
      </c>
      <c r="AB106" s="209">
        <v>25</v>
      </c>
      <c r="AC106" s="209">
        <v>26</v>
      </c>
      <c r="AD106" s="209">
        <v>27</v>
      </c>
      <c r="AE106" s="209">
        <v>28</v>
      </c>
      <c r="AF106" s="209">
        <v>29</v>
      </c>
      <c r="AG106" s="209">
        <v>30</v>
      </c>
    </row>
    <row r="107" spans="1:33" x14ac:dyDescent="0.2">
      <c r="A107" s="477" t="s">
        <v>335</v>
      </c>
      <c r="B107" s="478"/>
    </row>
    <row r="108" spans="1:33" x14ac:dyDescent="0.2">
      <c r="A108" s="207" t="str">
        <f>inputdata!A37</f>
        <v>local wells</v>
      </c>
      <c r="B108" s="207" t="str">
        <f>inputdata!B37</f>
        <v>GW</v>
      </c>
      <c r="D108" s="236" t="str">
        <f>IF(Variable!$B$4='lifeCycle Costs calculation'!B108,$J$27," ")</f>
        <v xml:space="preserve"> </v>
      </c>
      <c r="E108" s="236" t="str">
        <f>$D108</f>
        <v xml:space="preserve"> </v>
      </c>
      <c r="F108" s="236" t="str">
        <f t="shared" ref="F108:AG113" si="5">$D108</f>
        <v xml:space="preserve"> </v>
      </c>
      <c r="G108" s="236" t="str">
        <f t="shared" si="5"/>
        <v xml:space="preserve"> </v>
      </c>
      <c r="H108" s="236" t="str">
        <f t="shared" si="5"/>
        <v xml:space="preserve"> </v>
      </c>
      <c r="I108" s="236" t="str">
        <f t="shared" si="5"/>
        <v xml:space="preserve"> </v>
      </c>
      <c r="J108" s="236" t="str">
        <f t="shared" si="5"/>
        <v xml:space="preserve"> </v>
      </c>
      <c r="K108" s="236" t="str">
        <f t="shared" si="5"/>
        <v xml:space="preserve"> </v>
      </c>
      <c r="L108" s="236" t="str">
        <f t="shared" si="5"/>
        <v xml:space="preserve"> </v>
      </c>
      <c r="M108" s="236" t="str">
        <f t="shared" si="5"/>
        <v xml:space="preserve"> </v>
      </c>
      <c r="N108" s="236" t="str">
        <f t="shared" si="5"/>
        <v xml:space="preserve"> </v>
      </c>
      <c r="O108" s="236" t="str">
        <f t="shared" si="5"/>
        <v xml:space="preserve"> </v>
      </c>
      <c r="P108" s="236" t="str">
        <f t="shared" si="5"/>
        <v xml:space="preserve"> </v>
      </c>
      <c r="Q108" s="236" t="str">
        <f t="shared" si="5"/>
        <v xml:space="preserve"> </v>
      </c>
      <c r="R108" s="236" t="str">
        <f t="shared" si="5"/>
        <v xml:space="preserve"> </v>
      </c>
      <c r="S108" s="236" t="str">
        <f t="shared" si="5"/>
        <v xml:space="preserve"> </v>
      </c>
      <c r="T108" s="236" t="str">
        <f t="shared" si="5"/>
        <v xml:space="preserve"> </v>
      </c>
      <c r="U108" s="236" t="str">
        <f t="shared" si="5"/>
        <v xml:space="preserve"> </v>
      </c>
      <c r="V108" s="236" t="str">
        <f t="shared" si="5"/>
        <v xml:space="preserve"> </v>
      </c>
      <c r="W108" s="236" t="str">
        <f t="shared" si="5"/>
        <v xml:space="preserve"> </v>
      </c>
      <c r="X108" s="236" t="str">
        <f t="shared" si="5"/>
        <v xml:space="preserve"> </v>
      </c>
      <c r="Y108" s="236" t="str">
        <f t="shared" si="5"/>
        <v xml:space="preserve"> </v>
      </c>
      <c r="Z108" s="236" t="str">
        <f t="shared" si="5"/>
        <v xml:space="preserve"> </v>
      </c>
      <c r="AA108" s="236" t="str">
        <f t="shared" si="5"/>
        <v xml:space="preserve"> </v>
      </c>
      <c r="AB108" s="236" t="str">
        <f t="shared" si="5"/>
        <v xml:space="preserve"> </v>
      </c>
      <c r="AC108" s="236" t="str">
        <f t="shared" si="5"/>
        <v xml:space="preserve"> </v>
      </c>
      <c r="AD108" s="236" t="str">
        <f t="shared" si="5"/>
        <v xml:space="preserve"> </v>
      </c>
      <c r="AE108" s="236" t="str">
        <f t="shared" si="5"/>
        <v xml:space="preserve"> </v>
      </c>
      <c r="AF108" s="236" t="str">
        <f t="shared" si="5"/>
        <v xml:space="preserve"> </v>
      </c>
      <c r="AG108" s="236" t="str">
        <f t="shared" si="5"/>
        <v xml:space="preserve"> </v>
      </c>
    </row>
    <row r="109" spans="1:33" x14ac:dyDescent="0.2">
      <c r="A109" s="207" t="str">
        <f>inputdata!A38</f>
        <v>Man made River supply</v>
      </c>
      <c r="B109" s="207" t="str">
        <f>inputdata!B38</f>
        <v>MMR</v>
      </c>
      <c r="D109" s="236" t="str">
        <f>IF(Variable!$B$4='lifeCycle Costs calculation'!B109,$J$27," ")</f>
        <v xml:space="preserve"> </v>
      </c>
      <c r="E109" s="236" t="str">
        <f t="shared" ref="E109:T113" si="6">$D109</f>
        <v xml:space="preserve"> </v>
      </c>
      <c r="F109" s="236" t="str">
        <f t="shared" si="6"/>
        <v xml:space="preserve"> </v>
      </c>
      <c r="G109" s="236" t="str">
        <f t="shared" si="6"/>
        <v xml:space="preserve"> </v>
      </c>
      <c r="H109" s="236" t="str">
        <f t="shared" si="6"/>
        <v xml:space="preserve"> </v>
      </c>
      <c r="I109" s="236" t="str">
        <f t="shared" si="6"/>
        <v xml:space="preserve"> </v>
      </c>
      <c r="J109" s="236" t="str">
        <f t="shared" si="6"/>
        <v xml:space="preserve"> </v>
      </c>
      <c r="K109" s="236" t="str">
        <f t="shared" si="6"/>
        <v xml:space="preserve"> </v>
      </c>
      <c r="L109" s="236" t="str">
        <f t="shared" si="6"/>
        <v xml:space="preserve"> </v>
      </c>
      <c r="M109" s="236" t="str">
        <f t="shared" si="6"/>
        <v xml:space="preserve"> </v>
      </c>
      <c r="N109" s="236" t="str">
        <f t="shared" si="6"/>
        <v xml:space="preserve"> </v>
      </c>
      <c r="O109" s="236" t="str">
        <f t="shared" si="6"/>
        <v xml:space="preserve"> </v>
      </c>
      <c r="P109" s="236" t="str">
        <f t="shared" si="6"/>
        <v xml:space="preserve"> </v>
      </c>
      <c r="Q109" s="236" t="str">
        <f t="shared" si="6"/>
        <v xml:space="preserve"> </v>
      </c>
      <c r="R109" s="236" t="str">
        <f t="shared" si="6"/>
        <v xml:space="preserve"> </v>
      </c>
      <c r="S109" s="236" t="str">
        <f t="shared" si="6"/>
        <v xml:space="preserve"> </v>
      </c>
      <c r="T109" s="236" t="str">
        <f t="shared" si="6"/>
        <v xml:space="preserve"> </v>
      </c>
      <c r="U109" s="236" t="str">
        <f t="shared" si="5"/>
        <v xml:space="preserve"> </v>
      </c>
      <c r="V109" s="236" t="str">
        <f t="shared" si="5"/>
        <v xml:space="preserve"> </v>
      </c>
      <c r="W109" s="236" t="str">
        <f t="shared" si="5"/>
        <v xml:space="preserve"> </v>
      </c>
      <c r="X109" s="236" t="str">
        <f t="shared" si="5"/>
        <v xml:space="preserve"> </v>
      </c>
      <c r="Y109" s="236" t="str">
        <f t="shared" si="5"/>
        <v xml:space="preserve"> </v>
      </c>
      <c r="Z109" s="236" t="str">
        <f t="shared" si="5"/>
        <v xml:space="preserve"> </v>
      </c>
      <c r="AA109" s="236" t="str">
        <f t="shared" si="5"/>
        <v xml:space="preserve"> </v>
      </c>
      <c r="AB109" s="236" t="str">
        <f t="shared" si="5"/>
        <v xml:space="preserve"> </v>
      </c>
      <c r="AC109" s="236" t="str">
        <f t="shared" si="5"/>
        <v xml:space="preserve"> </v>
      </c>
      <c r="AD109" s="236" t="str">
        <f t="shared" si="5"/>
        <v xml:space="preserve"> </v>
      </c>
      <c r="AE109" s="236" t="str">
        <f t="shared" si="5"/>
        <v xml:space="preserve"> </v>
      </c>
      <c r="AF109" s="236" t="str">
        <f t="shared" si="5"/>
        <v xml:space="preserve"> </v>
      </c>
      <c r="AG109" s="236" t="str">
        <f t="shared" si="5"/>
        <v xml:space="preserve"> </v>
      </c>
    </row>
    <row r="110" spans="1:33" x14ac:dyDescent="0.2">
      <c r="A110" s="352" t="str">
        <f>inputdata!A39</f>
        <v xml:space="preserve">conventional activated sludge </v>
      </c>
      <c r="B110" s="352" t="str">
        <f>inputdata!B39</f>
        <v>T1</v>
      </c>
      <c r="D110" s="236" t="str">
        <f>IF(Variable!$B$4='lifeCycle Costs calculation'!B110,$J$27," ")</f>
        <v xml:space="preserve"> </v>
      </c>
      <c r="E110" s="236" t="str">
        <f t="shared" si="6"/>
        <v xml:space="preserve"> </v>
      </c>
      <c r="F110" s="236" t="str">
        <f t="shared" si="5"/>
        <v xml:space="preserve"> </v>
      </c>
      <c r="G110" s="236" t="str">
        <f t="shared" si="5"/>
        <v xml:space="preserve"> </v>
      </c>
      <c r="H110" s="236" t="str">
        <f t="shared" si="5"/>
        <v xml:space="preserve"> </v>
      </c>
      <c r="I110" s="236" t="str">
        <f t="shared" si="5"/>
        <v xml:space="preserve"> </v>
      </c>
      <c r="J110" s="236" t="str">
        <f t="shared" si="5"/>
        <v xml:space="preserve"> </v>
      </c>
      <c r="K110" s="236" t="str">
        <f t="shared" si="5"/>
        <v xml:space="preserve"> </v>
      </c>
      <c r="L110" s="236" t="str">
        <f t="shared" si="5"/>
        <v xml:space="preserve"> </v>
      </c>
      <c r="M110" s="236" t="str">
        <f t="shared" si="5"/>
        <v xml:space="preserve"> </v>
      </c>
      <c r="N110" s="236" t="str">
        <f t="shared" si="5"/>
        <v xml:space="preserve"> </v>
      </c>
      <c r="O110" s="236" t="str">
        <f t="shared" si="5"/>
        <v xml:space="preserve"> </v>
      </c>
      <c r="P110" s="236" t="str">
        <f t="shared" si="5"/>
        <v xml:space="preserve"> </v>
      </c>
      <c r="Q110" s="236" t="str">
        <f t="shared" si="5"/>
        <v xml:space="preserve"> </v>
      </c>
      <c r="R110" s="236" t="str">
        <f t="shared" si="5"/>
        <v xml:space="preserve"> </v>
      </c>
      <c r="S110" s="236" t="str">
        <f t="shared" si="5"/>
        <v xml:space="preserve"> </v>
      </c>
      <c r="T110" s="236" t="str">
        <f t="shared" si="5"/>
        <v xml:space="preserve"> </v>
      </c>
      <c r="U110" s="236" t="str">
        <f t="shared" si="5"/>
        <v xml:space="preserve"> </v>
      </c>
      <c r="V110" s="236" t="str">
        <f t="shared" si="5"/>
        <v xml:space="preserve"> </v>
      </c>
      <c r="W110" s="236" t="str">
        <f t="shared" si="5"/>
        <v xml:space="preserve"> </v>
      </c>
      <c r="X110" s="236" t="str">
        <f t="shared" si="5"/>
        <v xml:space="preserve"> </v>
      </c>
      <c r="Y110" s="236" t="str">
        <f t="shared" si="5"/>
        <v xml:space="preserve"> </v>
      </c>
      <c r="Z110" s="236" t="str">
        <f t="shared" si="5"/>
        <v xml:space="preserve"> </v>
      </c>
      <c r="AA110" s="236" t="str">
        <f t="shared" si="5"/>
        <v xml:space="preserve"> </v>
      </c>
      <c r="AB110" s="236" t="str">
        <f t="shared" si="5"/>
        <v xml:space="preserve"> </v>
      </c>
      <c r="AC110" s="236" t="str">
        <f t="shared" si="5"/>
        <v xml:space="preserve"> </v>
      </c>
      <c r="AD110" s="236" t="str">
        <f t="shared" si="5"/>
        <v xml:space="preserve"> </v>
      </c>
      <c r="AE110" s="236" t="str">
        <f t="shared" si="5"/>
        <v xml:space="preserve"> </v>
      </c>
      <c r="AF110" s="236" t="str">
        <f t="shared" si="5"/>
        <v xml:space="preserve"> </v>
      </c>
      <c r="AG110" s="236" t="str">
        <f t="shared" si="5"/>
        <v xml:space="preserve"> </v>
      </c>
    </row>
    <row r="111" spans="1:33" x14ac:dyDescent="0.2">
      <c r="A111" s="352" t="str">
        <f>inputdata!A40</f>
        <v>on site( Three-tank system )</v>
      </c>
      <c r="B111" s="352" t="str">
        <f>inputdata!B40</f>
        <v>T2</v>
      </c>
      <c r="D111" s="236" t="str">
        <f>IF(Variable!$B$4='lifeCycle Costs calculation'!B111,$J$27," ")</f>
        <v xml:space="preserve"> </v>
      </c>
      <c r="E111" s="236" t="str">
        <f t="shared" si="6"/>
        <v xml:space="preserve"> </v>
      </c>
      <c r="F111" s="236" t="str">
        <f t="shared" si="5"/>
        <v xml:space="preserve"> </v>
      </c>
      <c r="G111" s="236" t="str">
        <f t="shared" si="5"/>
        <v xml:space="preserve"> </v>
      </c>
      <c r="H111" s="236" t="str">
        <f t="shared" si="5"/>
        <v xml:space="preserve"> </v>
      </c>
      <c r="I111" s="236" t="str">
        <f t="shared" si="5"/>
        <v xml:space="preserve"> </v>
      </c>
      <c r="J111" s="236" t="str">
        <f t="shared" si="5"/>
        <v xml:space="preserve"> </v>
      </c>
      <c r="K111" s="236" t="str">
        <f t="shared" si="5"/>
        <v xml:space="preserve"> </v>
      </c>
      <c r="L111" s="236" t="str">
        <f t="shared" si="5"/>
        <v xml:space="preserve"> </v>
      </c>
      <c r="M111" s="236" t="str">
        <f t="shared" si="5"/>
        <v xml:space="preserve"> </v>
      </c>
      <c r="N111" s="236" t="str">
        <f t="shared" si="5"/>
        <v xml:space="preserve"> </v>
      </c>
      <c r="O111" s="236" t="str">
        <f t="shared" si="5"/>
        <v xml:space="preserve"> </v>
      </c>
      <c r="P111" s="236" t="str">
        <f t="shared" si="5"/>
        <v xml:space="preserve"> </v>
      </c>
      <c r="Q111" s="236" t="str">
        <f t="shared" si="5"/>
        <v xml:space="preserve"> </v>
      </c>
      <c r="R111" s="236" t="str">
        <f t="shared" si="5"/>
        <v xml:space="preserve"> </v>
      </c>
      <c r="S111" s="236" t="str">
        <f t="shared" si="5"/>
        <v xml:space="preserve"> </v>
      </c>
      <c r="T111" s="236" t="str">
        <f t="shared" si="5"/>
        <v xml:space="preserve"> </v>
      </c>
      <c r="U111" s="236" t="str">
        <f t="shared" si="5"/>
        <v xml:space="preserve"> </v>
      </c>
      <c r="V111" s="236" t="str">
        <f t="shared" si="5"/>
        <v xml:space="preserve"> </v>
      </c>
      <c r="W111" s="236" t="str">
        <f t="shared" si="5"/>
        <v xml:space="preserve"> </v>
      </c>
      <c r="X111" s="236" t="str">
        <f t="shared" si="5"/>
        <v xml:space="preserve"> </v>
      </c>
      <c r="Y111" s="236" t="str">
        <f t="shared" si="5"/>
        <v xml:space="preserve"> </v>
      </c>
      <c r="Z111" s="236" t="str">
        <f t="shared" si="5"/>
        <v xml:space="preserve"> </v>
      </c>
      <c r="AA111" s="236" t="str">
        <f t="shared" si="5"/>
        <v xml:space="preserve"> </v>
      </c>
      <c r="AB111" s="236" t="str">
        <f t="shared" si="5"/>
        <v xml:space="preserve"> </v>
      </c>
      <c r="AC111" s="236" t="str">
        <f t="shared" si="5"/>
        <v xml:space="preserve"> </v>
      </c>
      <c r="AD111" s="236" t="str">
        <f t="shared" si="5"/>
        <v xml:space="preserve"> </v>
      </c>
      <c r="AE111" s="236" t="str">
        <f t="shared" si="5"/>
        <v xml:space="preserve"> </v>
      </c>
      <c r="AF111" s="236" t="str">
        <f t="shared" si="5"/>
        <v xml:space="preserve"> </v>
      </c>
      <c r="AG111" s="236" t="str">
        <f t="shared" si="5"/>
        <v xml:space="preserve"> </v>
      </c>
    </row>
    <row r="112" spans="1:33" ht="25.5" x14ac:dyDescent="0.2">
      <c r="A112" s="352" t="str">
        <f>inputdata!A41</f>
        <v>on site(Three-tank system +sand Filter)</v>
      </c>
      <c r="B112" s="352" t="str">
        <f>inputdata!B41</f>
        <v>T3</v>
      </c>
      <c r="D112" s="236" t="str">
        <f>IF(Variable!$B$4='lifeCycle Costs calculation'!B112,$J$27," ")</f>
        <v xml:space="preserve"> </v>
      </c>
      <c r="E112" s="236" t="str">
        <f t="shared" si="6"/>
        <v xml:space="preserve"> </v>
      </c>
      <c r="F112" s="236" t="str">
        <f t="shared" si="5"/>
        <v xml:space="preserve"> </v>
      </c>
      <c r="G112" s="236" t="str">
        <f t="shared" si="5"/>
        <v xml:space="preserve"> </v>
      </c>
      <c r="H112" s="236" t="str">
        <f t="shared" si="5"/>
        <v xml:space="preserve"> </v>
      </c>
      <c r="I112" s="236" t="str">
        <f t="shared" si="5"/>
        <v xml:space="preserve"> </v>
      </c>
      <c r="J112" s="236" t="str">
        <f t="shared" si="5"/>
        <v xml:space="preserve"> </v>
      </c>
      <c r="K112" s="236" t="str">
        <f t="shared" si="5"/>
        <v xml:space="preserve"> </v>
      </c>
      <c r="L112" s="236" t="str">
        <f t="shared" si="5"/>
        <v xml:space="preserve"> </v>
      </c>
      <c r="M112" s="236" t="str">
        <f t="shared" si="5"/>
        <v xml:space="preserve"> </v>
      </c>
      <c r="N112" s="236" t="str">
        <f t="shared" si="5"/>
        <v xml:space="preserve"> </v>
      </c>
      <c r="O112" s="236" t="str">
        <f t="shared" si="5"/>
        <v xml:space="preserve"> </v>
      </c>
      <c r="P112" s="236" t="str">
        <f t="shared" si="5"/>
        <v xml:space="preserve"> </v>
      </c>
      <c r="Q112" s="236" t="str">
        <f t="shared" si="5"/>
        <v xml:space="preserve"> </v>
      </c>
      <c r="R112" s="236" t="str">
        <f t="shared" si="5"/>
        <v xml:space="preserve"> </v>
      </c>
      <c r="S112" s="236" t="str">
        <f t="shared" si="5"/>
        <v xml:space="preserve"> </v>
      </c>
      <c r="T112" s="236" t="str">
        <f t="shared" si="5"/>
        <v xml:space="preserve"> </v>
      </c>
      <c r="U112" s="236" t="str">
        <f t="shared" si="5"/>
        <v xml:space="preserve"> </v>
      </c>
      <c r="V112" s="236" t="str">
        <f t="shared" si="5"/>
        <v xml:space="preserve"> </v>
      </c>
      <c r="W112" s="236" t="str">
        <f t="shared" si="5"/>
        <v xml:space="preserve"> </v>
      </c>
      <c r="X112" s="236" t="str">
        <f t="shared" si="5"/>
        <v xml:space="preserve"> </v>
      </c>
      <c r="Y112" s="236" t="str">
        <f t="shared" si="5"/>
        <v xml:space="preserve"> </v>
      </c>
      <c r="Z112" s="236" t="str">
        <f t="shared" si="5"/>
        <v xml:space="preserve"> </v>
      </c>
      <c r="AA112" s="236" t="str">
        <f t="shared" si="5"/>
        <v xml:space="preserve"> </v>
      </c>
      <c r="AB112" s="236" t="str">
        <f t="shared" si="5"/>
        <v xml:space="preserve"> </v>
      </c>
      <c r="AC112" s="236" t="str">
        <f t="shared" si="5"/>
        <v xml:space="preserve"> </v>
      </c>
      <c r="AD112" s="236" t="str">
        <f t="shared" si="5"/>
        <v xml:space="preserve"> </v>
      </c>
      <c r="AE112" s="236" t="str">
        <f t="shared" si="5"/>
        <v xml:space="preserve"> </v>
      </c>
      <c r="AF112" s="236" t="str">
        <f t="shared" si="5"/>
        <v xml:space="preserve"> </v>
      </c>
      <c r="AG112" s="236" t="str">
        <f t="shared" si="5"/>
        <v xml:space="preserve"> </v>
      </c>
    </row>
    <row r="113" spans="1:33" x14ac:dyDescent="0.2">
      <c r="A113" s="352" t="str">
        <f>inputdata!A42</f>
        <v>septic tank+   (WSP)</v>
      </c>
      <c r="B113" s="352" t="str">
        <f>inputdata!B42</f>
        <v>T4</v>
      </c>
      <c r="D113" s="236">
        <f>IF(Variable!$B$4='lifeCycle Costs calculation'!B113,$J$27," ")</f>
        <v>78889098.062082857</v>
      </c>
      <c r="E113" s="236">
        <f t="shared" si="6"/>
        <v>78889098.062082857</v>
      </c>
      <c r="F113" s="236">
        <f t="shared" si="5"/>
        <v>78889098.062082857</v>
      </c>
      <c r="G113" s="236">
        <f t="shared" si="5"/>
        <v>78889098.062082857</v>
      </c>
      <c r="H113" s="236">
        <f t="shared" si="5"/>
        <v>78889098.062082857</v>
      </c>
      <c r="I113" s="236">
        <f t="shared" si="5"/>
        <v>78889098.062082857</v>
      </c>
      <c r="J113" s="236">
        <f t="shared" si="5"/>
        <v>78889098.062082857</v>
      </c>
      <c r="K113" s="236">
        <f t="shared" si="5"/>
        <v>78889098.062082857</v>
      </c>
      <c r="L113" s="236">
        <f t="shared" si="5"/>
        <v>78889098.062082857</v>
      </c>
      <c r="M113" s="236">
        <f t="shared" si="5"/>
        <v>78889098.062082857</v>
      </c>
      <c r="N113" s="236">
        <f t="shared" si="5"/>
        <v>78889098.062082857</v>
      </c>
      <c r="O113" s="236">
        <f t="shared" si="5"/>
        <v>78889098.062082857</v>
      </c>
      <c r="P113" s="236">
        <f t="shared" si="5"/>
        <v>78889098.062082857</v>
      </c>
      <c r="Q113" s="236">
        <f t="shared" si="5"/>
        <v>78889098.062082857</v>
      </c>
      <c r="R113" s="236">
        <f t="shared" si="5"/>
        <v>78889098.062082857</v>
      </c>
      <c r="S113" s="236">
        <f t="shared" si="5"/>
        <v>78889098.062082857</v>
      </c>
      <c r="T113" s="236">
        <f t="shared" si="5"/>
        <v>78889098.062082857</v>
      </c>
      <c r="U113" s="236">
        <f t="shared" si="5"/>
        <v>78889098.062082857</v>
      </c>
      <c r="V113" s="236">
        <f t="shared" si="5"/>
        <v>78889098.062082857</v>
      </c>
      <c r="W113" s="236">
        <f t="shared" si="5"/>
        <v>78889098.062082857</v>
      </c>
      <c r="X113" s="236">
        <f t="shared" si="5"/>
        <v>78889098.062082857</v>
      </c>
      <c r="Y113" s="236">
        <f t="shared" si="5"/>
        <v>78889098.062082857</v>
      </c>
      <c r="Z113" s="236">
        <f t="shared" si="5"/>
        <v>78889098.062082857</v>
      </c>
      <c r="AA113" s="236">
        <f t="shared" si="5"/>
        <v>78889098.062082857</v>
      </c>
      <c r="AB113" s="236">
        <f t="shared" si="5"/>
        <v>78889098.062082857</v>
      </c>
      <c r="AC113" s="236">
        <f t="shared" si="5"/>
        <v>78889098.062082857</v>
      </c>
      <c r="AD113" s="236">
        <f t="shared" si="5"/>
        <v>78889098.062082857</v>
      </c>
      <c r="AE113" s="236">
        <f t="shared" si="5"/>
        <v>78889098.062082857</v>
      </c>
      <c r="AF113" s="236">
        <f t="shared" si="5"/>
        <v>78889098.062082857</v>
      </c>
      <c r="AG113" s="236">
        <f t="shared" si="5"/>
        <v>78889098.062082857</v>
      </c>
    </row>
    <row r="114" spans="1:33" x14ac:dyDescent="0.2">
      <c r="A114" s="352" t="str">
        <f>inputdata!A43</f>
        <v>treatment plant  (WSP)</v>
      </c>
      <c r="B114" s="352" t="str">
        <f>inputdata!B43</f>
        <v>T5</v>
      </c>
      <c r="D114" s="236" t="str">
        <f>IF(Variable!$B$4='lifeCycle Costs calculation'!$B114,$J$27*(1+inputdata!$E$4)^('lifeCycle Costs calculation'!E$38-1)," ")</f>
        <v xml:space="preserve"> </v>
      </c>
      <c r="E114" s="236" t="str">
        <f>IF(Variable!$B$4='lifeCycle Costs calculation'!$B114,$J$27*(1+inputdata!$E$4)^('lifeCycle Costs calculation'!F$38-1)," ")</f>
        <v xml:space="preserve"> </v>
      </c>
      <c r="F114" s="236" t="str">
        <f>IF(Variable!$B$4='lifeCycle Costs calculation'!$B114,$J$27*(1+inputdata!$E$4)^('lifeCycle Costs calculation'!G$38-1)," ")</f>
        <v xml:space="preserve"> </v>
      </c>
      <c r="G114" s="236" t="str">
        <f>IF(Variable!$B$4='lifeCycle Costs calculation'!$B114,$J$27*(1+inputdata!$E$4)^('lifeCycle Costs calculation'!H$38-1)," ")</f>
        <v xml:space="preserve"> </v>
      </c>
      <c r="H114" s="236" t="str">
        <f>IF(Variable!$B$4='lifeCycle Costs calculation'!$B114,$J$27*(1+inputdata!$E$4)^('lifeCycle Costs calculation'!I$38-1)," ")</f>
        <v xml:space="preserve"> </v>
      </c>
      <c r="I114" s="236" t="str">
        <f>IF(Variable!$B$4='lifeCycle Costs calculation'!$B114,$J$27*(1+inputdata!$E$4)^('lifeCycle Costs calculation'!J$38-1)," ")</f>
        <v xml:space="preserve"> </v>
      </c>
      <c r="J114" s="236" t="str">
        <f>IF(Variable!$B$4='lifeCycle Costs calculation'!$B114,$J$27*(1+inputdata!$E$4)^('lifeCycle Costs calculation'!K$38-1)," ")</f>
        <v xml:space="preserve"> </v>
      </c>
      <c r="K114" s="236" t="str">
        <f>IF(Variable!$B$4='lifeCycle Costs calculation'!$B114,$J$27*(1+inputdata!$E$4)^('lifeCycle Costs calculation'!L$38-1)," ")</f>
        <v xml:space="preserve"> </v>
      </c>
      <c r="L114" s="236" t="str">
        <f>IF(Variable!$B$4='lifeCycle Costs calculation'!$B114,$J$27*(1+inputdata!$E$4)^('lifeCycle Costs calculation'!M$38-1)," ")</f>
        <v xml:space="preserve"> </v>
      </c>
      <c r="M114" s="236" t="str">
        <f>IF(Variable!$B$4='lifeCycle Costs calculation'!$B114,$J$27*(1+inputdata!$E$4)^('lifeCycle Costs calculation'!N$38-1)," ")</f>
        <v xml:space="preserve"> </v>
      </c>
      <c r="N114" s="236" t="str">
        <f>IF(Variable!$B$4='lifeCycle Costs calculation'!$B114,$J$27*(1+inputdata!$E$4)^('lifeCycle Costs calculation'!O$38-1)," ")</f>
        <v xml:space="preserve"> </v>
      </c>
      <c r="O114" s="236" t="str">
        <f>IF(Variable!$B$4='lifeCycle Costs calculation'!$B114,$J$27*(1+inputdata!$E$4)^('lifeCycle Costs calculation'!P$38-1)," ")</f>
        <v xml:space="preserve"> </v>
      </c>
      <c r="P114" s="236" t="str">
        <f>IF(Variable!$B$4='lifeCycle Costs calculation'!$B114,$J$27*(1+inputdata!$E$4)^('lifeCycle Costs calculation'!Q$38-1)," ")</f>
        <v xml:space="preserve"> </v>
      </c>
      <c r="Q114" s="236" t="str">
        <f>IF(Variable!$B$4='lifeCycle Costs calculation'!$B114,$J$27*(1+inputdata!$E$4)^('lifeCycle Costs calculation'!R$38-1)," ")</f>
        <v xml:space="preserve"> </v>
      </c>
      <c r="R114" s="236" t="str">
        <f>IF(Variable!$B$4='lifeCycle Costs calculation'!$B114,$J$27*(1+inputdata!$E$4)^('lifeCycle Costs calculation'!S$38-1)," ")</f>
        <v xml:space="preserve"> </v>
      </c>
      <c r="S114" s="236" t="str">
        <f>IF(Variable!$B$4='lifeCycle Costs calculation'!$B114,$J$27*(1+inputdata!$E$4)^('lifeCycle Costs calculation'!T$38-1)," ")</f>
        <v xml:space="preserve"> </v>
      </c>
      <c r="T114" s="236" t="str">
        <f>IF(Variable!$B$4='lifeCycle Costs calculation'!$B114,$J$27*(1+inputdata!$E$4)^('lifeCycle Costs calculation'!U$38-1)," ")</f>
        <v xml:space="preserve"> </v>
      </c>
      <c r="U114" s="236" t="str">
        <f>IF(Variable!$B$4='lifeCycle Costs calculation'!$B114,$J$27*(1+inputdata!$E$4)^('lifeCycle Costs calculation'!V$38-1)," ")</f>
        <v xml:space="preserve"> </v>
      </c>
      <c r="V114" s="236" t="str">
        <f>IF(Variable!$B$4='lifeCycle Costs calculation'!$B114,$J$27*(1+inputdata!$E$4)^('lifeCycle Costs calculation'!W$38-1)," ")</f>
        <v xml:space="preserve"> </v>
      </c>
      <c r="W114" s="236" t="str">
        <f>IF(Variable!$B$4='lifeCycle Costs calculation'!$B114,$J$27*(1+inputdata!$E$4)^('lifeCycle Costs calculation'!X$38-1)," ")</f>
        <v xml:space="preserve"> </v>
      </c>
      <c r="X114" s="236" t="str">
        <f>IF(Variable!$B$4='lifeCycle Costs calculation'!$B114,$J$27*(1+inputdata!$E$4)^('lifeCycle Costs calculation'!Y$38-1)," ")</f>
        <v xml:space="preserve"> </v>
      </c>
      <c r="Y114" s="236" t="str">
        <f>IF(Variable!$B$4='lifeCycle Costs calculation'!$B114,$J$27*(1+inputdata!$E$4)^('lifeCycle Costs calculation'!Z$38-1)," ")</f>
        <v xml:space="preserve"> </v>
      </c>
      <c r="Z114" s="236" t="str">
        <f>IF(Variable!$B$4='lifeCycle Costs calculation'!$B114,$J$27*(1+inputdata!$E$4)^('lifeCycle Costs calculation'!AA$38-1)," ")</f>
        <v xml:space="preserve"> </v>
      </c>
      <c r="AA114" s="236" t="str">
        <f>IF(Variable!$B$4='lifeCycle Costs calculation'!$B114,$J$27*(1+inputdata!$E$4)^('lifeCycle Costs calculation'!AB$38-1)," ")</f>
        <v xml:space="preserve"> </v>
      </c>
      <c r="AB114" s="236" t="str">
        <f>IF(Variable!$B$4='lifeCycle Costs calculation'!$B114,$J$27*(1+inputdata!$E$4)^('lifeCycle Costs calculation'!AC$38-1)," ")</f>
        <v xml:space="preserve"> </v>
      </c>
      <c r="AC114" s="236" t="str">
        <f>IF(Variable!$B$4='lifeCycle Costs calculation'!$B114,$J$27*(1+inputdata!$E$4)^('lifeCycle Costs calculation'!AD$38-1)," ")</f>
        <v xml:space="preserve"> </v>
      </c>
      <c r="AD114" s="236" t="str">
        <f>IF(Variable!$B$4='lifeCycle Costs calculation'!$B114,$J$27*(1+inputdata!$E$4)^('lifeCycle Costs calculation'!AE$38-1)," ")</f>
        <v xml:space="preserve"> </v>
      </c>
      <c r="AE114" s="236" t="str">
        <f>IF(Variable!$B$4='lifeCycle Costs calculation'!$B114,$J$27*(1+inputdata!$E$4)^('lifeCycle Costs calculation'!AF$38-1)," ")</f>
        <v xml:space="preserve"> </v>
      </c>
      <c r="AF114" s="236" t="str">
        <f>IF(Variable!$B$4='lifeCycle Costs calculation'!$B114,$J$27*(1+inputdata!$E$4)^('lifeCycle Costs calculation'!AG$38-1)," ")</f>
        <v xml:space="preserve"> </v>
      </c>
      <c r="AG114" s="236" t="str">
        <f>IF(Variable!$B$4='lifeCycle Costs calculation'!$B114,$J$27*(1+inputdata!$E$4)^('lifeCycle Costs calculation'!AH$38-1)," ")</f>
        <v xml:space="preserve"> </v>
      </c>
    </row>
    <row r="115" spans="1:33" ht="18.75" customHeight="1" x14ac:dyDescent="0.2">
      <c r="A115" s="352" t="str">
        <f>inputdata!A44</f>
        <v>treatment plant (Conventional activated sludge+ disinfection)</v>
      </c>
      <c r="B115" s="352" t="str">
        <f>inputdata!B44</f>
        <v>T6</v>
      </c>
      <c r="D115" s="236" t="str">
        <f>IF(Variable!$B$4='lifeCycle Costs calculation'!$B115,$J$27*(1+inputdata!$E$4)^('lifeCycle Costs calculation'!E$38-1)," ")</f>
        <v xml:space="preserve"> </v>
      </c>
      <c r="E115" s="236" t="str">
        <f>IF(Variable!$B$4='lifeCycle Costs calculation'!$B115,$J$27*(1+inputdata!$E$4)^('lifeCycle Costs calculation'!F$38-1)," ")</f>
        <v xml:space="preserve"> </v>
      </c>
      <c r="F115" s="236" t="str">
        <f>IF(Variable!$B$4='lifeCycle Costs calculation'!$B115,$J$27*(1+inputdata!$E$4)^('lifeCycle Costs calculation'!G$38-1)," ")</f>
        <v xml:space="preserve"> </v>
      </c>
      <c r="G115" s="236" t="str">
        <f>IF(Variable!$B$4='lifeCycle Costs calculation'!$B115,$J$27*(1+inputdata!$E$4)^('lifeCycle Costs calculation'!H$38-1)," ")</f>
        <v xml:space="preserve"> </v>
      </c>
      <c r="H115" s="236" t="str">
        <f>IF(Variable!$B$4='lifeCycle Costs calculation'!$B115,$J$27*(1+inputdata!$E$4)^('lifeCycle Costs calculation'!I$38-1)," ")</f>
        <v xml:space="preserve"> </v>
      </c>
      <c r="I115" s="236" t="str">
        <f>IF(Variable!$B$4='lifeCycle Costs calculation'!$B115,$J$27*(1+inputdata!$E$4)^('lifeCycle Costs calculation'!J$38-1)," ")</f>
        <v xml:space="preserve"> </v>
      </c>
      <c r="J115" s="236" t="str">
        <f>IF(Variable!$B$4='lifeCycle Costs calculation'!$B115,$J$27*(1+inputdata!$E$4)^('lifeCycle Costs calculation'!K$38-1)," ")</f>
        <v xml:space="preserve"> </v>
      </c>
      <c r="K115" s="236" t="str">
        <f>IF(Variable!$B$4='lifeCycle Costs calculation'!$B115,$J$27*(1+inputdata!$E$4)^('lifeCycle Costs calculation'!L$38-1)," ")</f>
        <v xml:space="preserve"> </v>
      </c>
      <c r="L115" s="236" t="str">
        <f>IF(Variable!$B$4='lifeCycle Costs calculation'!$B115,$J$27*(1+inputdata!$E$4)^('lifeCycle Costs calculation'!M$38-1)," ")</f>
        <v xml:space="preserve"> </v>
      </c>
      <c r="M115" s="236" t="str">
        <f>IF(Variable!$B$4='lifeCycle Costs calculation'!$B115,$J$27*(1+inputdata!$E$4)^('lifeCycle Costs calculation'!N$38-1)," ")</f>
        <v xml:space="preserve"> </v>
      </c>
      <c r="N115" s="236" t="str">
        <f>IF(Variable!$B$4='lifeCycle Costs calculation'!$B115,$J$27*(1+inputdata!$E$4)^('lifeCycle Costs calculation'!O$38-1)," ")</f>
        <v xml:space="preserve"> </v>
      </c>
      <c r="O115" s="236" t="str">
        <f>IF(Variable!$B$4='lifeCycle Costs calculation'!$B115,$J$27*(1+inputdata!$E$4)^('lifeCycle Costs calculation'!P$38-1)," ")</f>
        <v xml:space="preserve"> </v>
      </c>
      <c r="P115" s="236" t="str">
        <f>IF(Variable!$B$4='lifeCycle Costs calculation'!$B115,$J$27*(1+inputdata!$E$4)^('lifeCycle Costs calculation'!Q$38-1)," ")</f>
        <v xml:space="preserve"> </v>
      </c>
      <c r="Q115" s="236" t="str">
        <f>IF(Variable!$B$4='lifeCycle Costs calculation'!$B115,$J$27*(1+inputdata!$E$4)^('lifeCycle Costs calculation'!R$38-1)," ")</f>
        <v xml:space="preserve"> </v>
      </c>
      <c r="R115" s="236" t="str">
        <f>IF(Variable!$B$4='lifeCycle Costs calculation'!$B115,$J$27*(1+inputdata!$E$4)^('lifeCycle Costs calculation'!S$38-1)," ")</f>
        <v xml:space="preserve"> </v>
      </c>
      <c r="S115" s="236" t="str">
        <f>IF(Variable!$B$4='lifeCycle Costs calculation'!$B115,$J$27*(1+inputdata!$E$4)^('lifeCycle Costs calculation'!T$38-1)," ")</f>
        <v xml:space="preserve"> </v>
      </c>
      <c r="T115" s="236" t="str">
        <f>IF(Variable!$B$4='lifeCycle Costs calculation'!$B115,$J$27*(1+inputdata!$E$4)^('lifeCycle Costs calculation'!U$38-1)," ")</f>
        <v xml:space="preserve"> </v>
      </c>
      <c r="U115" s="236" t="str">
        <f>IF(Variable!$B$4='lifeCycle Costs calculation'!$B115,$J$27*(1+inputdata!$E$4)^('lifeCycle Costs calculation'!V$38-1)," ")</f>
        <v xml:space="preserve"> </v>
      </c>
      <c r="V115" s="236" t="str">
        <f>IF(Variable!$B$4='lifeCycle Costs calculation'!$B115,$J$27*(1+inputdata!$E$4)^('lifeCycle Costs calculation'!W$38-1)," ")</f>
        <v xml:space="preserve"> </v>
      </c>
      <c r="W115" s="236" t="str">
        <f>IF(Variable!$B$4='lifeCycle Costs calculation'!$B115,$J$27*(1+inputdata!$E$4)^('lifeCycle Costs calculation'!X$38-1)," ")</f>
        <v xml:space="preserve"> </v>
      </c>
      <c r="X115" s="236" t="str">
        <f>IF(Variable!$B$4='lifeCycle Costs calculation'!$B115,$J$27*(1+inputdata!$E$4)^('lifeCycle Costs calculation'!Y$38-1)," ")</f>
        <v xml:space="preserve"> </v>
      </c>
      <c r="Y115" s="236" t="str">
        <f>IF(Variable!$B$4='lifeCycle Costs calculation'!$B115,$J$27*(1+inputdata!$E$4)^('lifeCycle Costs calculation'!Z$38-1)," ")</f>
        <v xml:space="preserve"> </v>
      </c>
      <c r="Z115" s="236" t="str">
        <f>IF(Variable!$B$4='lifeCycle Costs calculation'!$B115,$J$27*(1+inputdata!$E$4)^('lifeCycle Costs calculation'!AA$38-1)," ")</f>
        <v xml:space="preserve"> </v>
      </c>
      <c r="AA115" s="236" t="str">
        <f>IF(Variable!$B$4='lifeCycle Costs calculation'!$B115,$J$27*(1+inputdata!$E$4)^('lifeCycle Costs calculation'!AB$38-1)," ")</f>
        <v xml:space="preserve"> </v>
      </c>
      <c r="AB115" s="236" t="str">
        <f>IF(Variable!$B$4='lifeCycle Costs calculation'!$B115,$J$27*(1+inputdata!$E$4)^('lifeCycle Costs calculation'!AC$38-1)," ")</f>
        <v xml:space="preserve"> </v>
      </c>
      <c r="AC115" s="236" t="str">
        <f>IF(Variable!$B$4='lifeCycle Costs calculation'!$B115,$J$27*(1+inputdata!$E$4)^('lifeCycle Costs calculation'!AD$38-1)," ")</f>
        <v xml:space="preserve"> </v>
      </c>
      <c r="AD115" s="236" t="str">
        <f>IF(Variable!$B$4='lifeCycle Costs calculation'!$B115,$J$27*(1+inputdata!$E$4)^('lifeCycle Costs calculation'!AE$38-1)," ")</f>
        <v xml:space="preserve"> </v>
      </c>
      <c r="AE115" s="236" t="str">
        <f>IF(Variable!$B$4='lifeCycle Costs calculation'!$B115,$J$27*(1+inputdata!$E$4)^('lifeCycle Costs calculation'!AF$38-1)," ")</f>
        <v xml:space="preserve"> </v>
      </c>
      <c r="AF115" s="236" t="str">
        <f>IF(Variable!$B$4='lifeCycle Costs calculation'!$B115,$J$27*(1+inputdata!$E$4)^('lifeCycle Costs calculation'!AG$38-1)," ")</f>
        <v xml:space="preserve"> </v>
      </c>
      <c r="AG115" s="236" t="str">
        <f>IF(Variable!$B$4='lifeCycle Costs calculation'!$B115,$J$27*(1+inputdata!$E$4)^('lifeCycle Costs calculation'!AH$38-1)," ")</f>
        <v xml:space="preserve"> </v>
      </c>
    </row>
    <row r="116" spans="1:33" ht="14.25" customHeight="1" x14ac:dyDescent="0.2">
      <c r="A116" s="352" t="str">
        <f>inputdata!A45</f>
        <v>Activated sludge+ Biological Nitrogen Removal (MLE)+ disinfection</v>
      </c>
      <c r="B116" s="352" t="str">
        <f>inputdata!B45</f>
        <v>T7</v>
      </c>
      <c r="D116" s="236" t="str">
        <f>IF(Variable!$B$4='lifeCycle Costs calculation'!$B116,$J$27*(1+inputdata!$E$4)^('lifeCycle Costs calculation'!E$38-1)," ")</f>
        <v xml:space="preserve"> </v>
      </c>
      <c r="E116" s="236" t="str">
        <f>IF(Variable!$B$4='lifeCycle Costs calculation'!$B116,$J$27*(1+inputdata!$E$4)^('lifeCycle Costs calculation'!F$38-1)," ")</f>
        <v xml:space="preserve"> </v>
      </c>
      <c r="F116" s="236" t="str">
        <f>IF(Variable!$B$4='lifeCycle Costs calculation'!$B116,$J$27*(1+inputdata!$E$4)^('lifeCycle Costs calculation'!G$38-1)," ")</f>
        <v xml:space="preserve"> </v>
      </c>
      <c r="G116" s="236" t="str">
        <f>IF(Variable!$B$4='lifeCycle Costs calculation'!$B116,$J$27*(1+inputdata!$E$4)^('lifeCycle Costs calculation'!H$38-1)," ")</f>
        <v xml:space="preserve"> </v>
      </c>
      <c r="H116" s="236" t="str">
        <f>IF(Variable!$B$4='lifeCycle Costs calculation'!$B116,$J$27*(1+inputdata!$E$4)^('lifeCycle Costs calculation'!I$38-1)," ")</f>
        <v xml:space="preserve"> </v>
      </c>
      <c r="I116" s="236" t="str">
        <f>IF(Variable!$B$4='lifeCycle Costs calculation'!$B116,$J$27*(1+inputdata!$E$4)^('lifeCycle Costs calculation'!J$38-1)," ")</f>
        <v xml:space="preserve"> </v>
      </c>
      <c r="J116" s="236" t="str">
        <f>IF(Variable!$B$4='lifeCycle Costs calculation'!$B116,$J$27*(1+inputdata!$E$4)^('lifeCycle Costs calculation'!K$38-1)," ")</f>
        <v xml:space="preserve"> </v>
      </c>
      <c r="K116" s="236" t="str">
        <f>IF(Variable!$B$4='lifeCycle Costs calculation'!$B116,$J$27*(1+inputdata!$E$4)^('lifeCycle Costs calculation'!L$38-1)," ")</f>
        <v xml:space="preserve"> </v>
      </c>
      <c r="L116" s="236" t="str">
        <f>IF(Variable!$B$4='lifeCycle Costs calculation'!$B116,$J$27*(1+inputdata!$E$4)^('lifeCycle Costs calculation'!M$38-1)," ")</f>
        <v xml:space="preserve"> </v>
      </c>
      <c r="M116" s="236" t="str">
        <f>IF(Variable!$B$4='lifeCycle Costs calculation'!$B116,$J$27*(1+inputdata!$E$4)^('lifeCycle Costs calculation'!N$38-1)," ")</f>
        <v xml:space="preserve"> </v>
      </c>
      <c r="N116" s="236" t="str">
        <f>IF(Variable!$B$4='lifeCycle Costs calculation'!$B116,$J$27*(1+inputdata!$E$4)^('lifeCycle Costs calculation'!O$38-1)," ")</f>
        <v xml:space="preserve"> </v>
      </c>
      <c r="O116" s="236" t="str">
        <f>IF(Variable!$B$4='lifeCycle Costs calculation'!$B116,$J$27*(1+inputdata!$E$4)^('lifeCycle Costs calculation'!P$38-1)," ")</f>
        <v xml:space="preserve"> </v>
      </c>
      <c r="P116" s="236" t="str">
        <f>IF(Variable!$B$4='lifeCycle Costs calculation'!$B116,$J$27*(1+inputdata!$E$4)^('lifeCycle Costs calculation'!Q$38-1)," ")</f>
        <v xml:space="preserve"> </v>
      </c>
      <c r="Q116" s="236" t="str">
        <f>IF(Variable!$B$4='lifeCycle Costs calculation'!$B116,$J$27*(1+inputdata!$E$4)^('lifeCycle Costs calculation'!R$38-1)," ")</f>
        <v xml:space="preserve"> </v>
      </c>
      <c r="R116" s="236" t="str">
        <f>IF(Variable!$B$4='lifeCycle Costs calculation'!$B116,$J$27*(1+inputdata!$E$4)^('lifeCycle Costs calculation'!S$38-1)," ")</f>
        <v xml:space="preserve"> </v>
      </c>
      <c r="S116" s="236" t="str">
        <f>IF(Variable!$B$4='lifeCycle Costs calculation'!$B116,$J$27*(1+inputdata!$E$4)^('lifeCycle Costs calculation'!T$38-1)," ")</f>
        <v xml:space="preserve"> </v>
      </c>
      <c r="T116" s="236" t="str">
        <f>IF(Variable!$B$4='lifeCycle Costs calculation'!$B116,$J$27*(1+inputdata!$E$4)^('lifeCycle Costs calculation'!U$38-1)," ")</f>
        <v xml:space="preserve"> </v>
      </c>
      <c r="U116" s="236" t="str">
        <f>IF(Variable!$B$4='lifeCycle Costs calculation'!$B116,$J$27*(1+inputdata!$E$4)^('lifeCycle Costs calculation'!V$38-1)," ")</f>
        <v xml:space="preserve"> </v>
      </c>
      <c r="V116" s="236" t="str">
        <f>IF(Variable!$B$4='lifeCycle Costs calculation'!$B116,$J$27*(1+inputdata!$E$4)^('lifeCycle Costs calculation'!W$38-1)," ")</f>
        <v xml:space="preserve"> </v>
      </c>
      <c r="W116" s="236" t="str">
        <f>IF(Variable!$B$4='lifeCycle Costs calculation'!$B116,$J$27*(1+inputdata!$E$4)^('lifeCycle Costs calculation'!X$38-1)," ")</f>
        <v xml:space="preserve"> </v>
      </c>
      <c r="X116" s="236" t="str">
        <f>IF(Variable!$B$4='lifeCycle Costs calculation'!$B116,$J$27*(1+inputdata!$E$4)^('lifeCycle Costs calculation'!Y$38-1)," ")</f>
        <v xml:space="preserve"> </v>
      </c>
      <c r="Y116" s="236" t="str">
        <f>IF(Variable!$B$4='lifeCycle Costs calculation'!$B116,$J$27*(1+inputdata!$E$4)^('lifeCycle Costs calculation'!Z$38-1)," ")</f>
        <v xml:space="preserve"> </v>
      </c>
      <c r="Z116" s="236" t="str">
        <f>IF(Variable!$B$4='lifeCycle Costs calculation'!$B116,$J$27*(1+inputdata!$E$4)^('lifeCycle Costs calculation'!AA$38-1)," ")</f>
        <v xml:space="preserve"> </v>
      </c>
      <c r="AA116" s="236" t="str">
        <f>IF(Variable!$B$4='lifeCycle Costs calculation'!$B116,$J$27*(1+inputdata!$E$4)^('lifeCycle Costs calculation'!AB$38-1)," ")</f>
        <v xml:space="preserve"> </v>
      </c>
      <c r="AB116" s="236" t="str">
        <f>IF(Variable!$B$4='lifeCycle Costs calculation'!$B116,$J$27*(1+inputdata!$E$4)^('lifeCycle Costs calculation'!AC$38-1)," ")</f>
        <v xml:space="preserve"> </v>
      </c>
      <c r="AC116" s="236" t="str">
        <f>IF(Variable!$B$4='lifeCycle Costs calculation'!$B116,$J$27*(1+inputdata!$E$4)^('lifeCycle Costs calculation'!AD$38-1)," ")</f>
        <v xml:space="preserve"> </v>
      </c>
      <c r="AD116" s="236" t="str">
        <f>IF(Variable!$B$4='lifeCycle Costs calculation'!$B116,$J$27*(1+inputdata!$E$4)^('lifeCycle Costs calculation'!AE$38-1)," ")</f>
        <v xml:space="preserve"> </v>
      </c>
      <c r="AE116" s="236" t="str">
        <f>IF(Variable!$B$4='lifeCycle Costs calculation'!$B116,$J$27*(1+inputdata!$E$4)^('lifeCycle Costs calculation'!AF$38-1)," ")</f>
        <v xml:space="preserve"> </v>
      </c>
      <c r="AF116" s="236" t="str">
        <f>IF(Variable!$B$4='lifeCycle Costs calculation'!$B116,$J$27*(1+inputdata!$E$4)^('lifeCycle Costs calculation'!AG$38-1)," ")</f>
        <v xml:space="preserve"> </v>
      </c>
      <c r="AG116" s="236" t="str">
        <f>IF(Variable!$B$4='lifeCycle Costs calculation'!$B116,$J$27*(1+inputdata!$E$4)^('lifeCycle Costs calculation'!AH$38-1)," ")</f>
        <v xml:space="preserve"> </v>
      </c>
    </row>
    <row r="117" spans="1:33" ht="21.75" customHeight="1" x14ac:dyDescent="0.2">
      <c r="A117" s="352" t="str">
        <f>inputdata!A46</f>
        <v>Activated sludge+ Ultrfiltration+ reverse osmosis</v>
      </c>
      <c r="B117" s="352" t="str">
        <f>inputdata!B46</f>
        <v>T8</v>
      </c>
      <c r="D117" s="236" t="str">
        <f>IF(Variable!$B$4='lifeCycle Costs calculation'!$B117,$J$27*(1+inputdata!$E$4)^('lifeCycle Costs calculation'!E$38-1)," ")</f>
        <v xml:space="preserve"> </v>
      </c>
      <c r="E117" s="236" t="str">
        <f>IF(Variable!$B$4='lifeCycle Costs calculation'!$B117,$J$27*(1+inputdata!$E$4)^('lifeCycle Costs calculation'!F$38-1)," ")</f>
        <v xml:space="preserve"> </v>
      </c>
      <c r="F117" s="236" t="str">
        <f>IF(Variable!$B$4='lifeCycle Costs calculation'!$B117,$J$27*(1+inputdata!$E$4)^('lifeCycle Costs calculation'!G$38-1)," ")</f>
        <v xml:space="preserve"> </v>
      </c>
      <c r="G117" s="236" t="str">
        <f>IF(Variable!$B$4='lifeCycle Costs calculation'!$B117,$J$27*(1+inputdata!$E$4)^('lifeCycle Costs calculation'!H$38-1)," ")</f>
        <v xml:space="preserve"> </v>
      </c>
      <c r="H117" s="236" t="str">
        <f>IF(Variable!$B$4='lifeCycle Costs calculation'!$B117,$J$27*(1+inputdata!$E$4)^('lifeCycle Costs calculation'!I$38-1)," ")</f>
        <v xml:space="preserve"> </v>
      </c>
      <c r="I117" s="236" t="str">
        <f>IF(Variable!$B$4='lifeCycle Costs calculation'!$B117,$J$27*(1+inputdata!$E$4)^('lifeCycle Costs calculation'!J$38-1)," ")</f>
        <v xml:space="preserve"> </v>
      </c>
      <c r="J117" s="236" t="str">
        <f>IF(Variable!$B$4='lifeCycle Costs calculation'!$B117,$J$27*(1+inputdata!$E$4)^('lifeCycle Costs calculation'!K$38-1)," ")</f>
        <v xml:space="preserve"> </v>
      </c>
      <c r="K117" s="236" t="str">
        <f>IF(Variable!$B$4='lifeCycle Costs calculation'!$B117,$J$27*(1+inputdata!$E$4)^('lifeCycle Costs calculation'!L$38-1)," ")</f>
        <v xml:space="preserve"> </v>
      </c>
      <c r="L117" s="236" t="str">
        <f>IF(Variable!$B$4='lifeCycle Costs calculation'!$B117,$J$27*(1+inputdata!$E$4)^('lifeCycle Costs calculation'!M$38-1)," ")</f>
        <v xml:space="preserve"> </v>
      </c>
      <c r="M117" s="236" t="str">
        <f>IF(Variable!$B$4='lifeCycle Costs calculation'!$B117,$J$27*(1+inputdata!$E$4)^('lifeCycle Costs calculation'!N$38-1)," ")</f>
        <v xml:space="preserve"> </v>
      </c>
      <c r="N117" s="236" t="str">
        <f>IF(Variable!$B$4='lifeCycle Costs calculation'!$B117,$J$27*(1+inputdata!$E$4)^('lifeCycle Costs calculation'!O$38-1)," ")</f>
        <v xml:space="preserve"> </v>
      </c>
      <c r="O117" s="236" t="str">
        <f>IF(Variable!$B$4='lifeCycle Costs calculation'!$B117,$J$27*(1+inputdata!$E$4)^('lifeCycle Costs calculation'!P$38-1)," ")</f>
        <v xml:space="preserve"> </v>
      </c>
      <c r="P117" s="236" t="str">
        <f>IF(Variable!$B$4='lifeCycle Costs calculation'!$B117,$J$27*(1+inputdata!$E$4)^('lifeCycle Costs calculation'!Q$38-1)," ")</f>
        <v xml:space="preserve"> </v>
      </c>
      <c r="Q117" s="236" t="str">
        <f>IF(Variable!$B$4='lifeCycle Costs calculation'!$B117,$J$27*(1+inputdata!$E$4)^('lifeCycle Costs calculation'!R$38-1)," ")</f>
        <v xml:space="preserve"> </v>
      </c>
      <c r="R117" s="236" t="str">
        <f>IF(Variable!$B$4='lifeCycle Costs calculation'!$B117,$J$27*(1+inputdata!$E$4)^('lifeCycle Costs calculation'!S$38-1)," ")</f>
        <v xml:space="preserve"> </v>
      </c>
      <c r="S117" s="236" t="str">
        <f>IF(Variable!$B$4='lifeCycle Costs calculation'!$B117,$J$27*(1+inputdata!$E$4)^('lifeCycle Costs calculation'!T$38-1)," ")</f>
        <v xml:space="preserve"> </v>
      </c>
      <c r="T117" s="236" t="str">
        <f>IF(Variable!$B$4='lifeCycle Costs calculation'!$B117,$J$27*(1+inputdata!$E$4)^('lifeCycle Costs calculation'!U$38-1)," ")</f>
        <v xml:space="preserve"> </v>
      </c>
      <c r="U117" s="236" t="str">
        <f>IF(Variable!$B$4='lifeCycle Costs calculation'!$B117,$J$27*(1+inputdata!$E$4)^('lifeCycle Costs calculation'!V$38-1)," ")</f>
        <v xml:space="preserve"> </v>
      </c>
      <c r="V117" s="236" t="str">
        <f>IF(Variable!$B$4='lifeCycle Costs calculation'!$B117,$J$27*(1+inputdata!$E$4)^('lifeCycle Costs calculation'!W$38-1)," ")</f>
        <v xml:space="preserve"> </v>
      </c>
      <c r="W117" s="236" t="str">
        <f>IF(Variable!$B$4='lifeCycle Costs calculation'!$B117,$J$27*(1+inputdata!$E$4)^('lifeCycle Costs calculation'!X$38-1)," ")</f>
        <v xml:space="preserve"> </v>
      </c>
      <c r="X117" s="236" t="str">
        <f>IF(Variable!$B$4='lifeCycle Costs calculation'!$B117,$J$27*(1+inputdata!$E$4)^('lifeCycle Costs calculation'!Y$38-1)," ")</f>
        <v xml:space="preserve"> </v>
      </c>
      <c r="Y117" s="236" t="str">
        <f>IF(Variable!$B$4='lifeCycle Costs calculation'!$B117,$J$27*(1+inputdata!$E$4)^('lifeCycle Costs calculation'!Z$38-1)," ")</f>
        <v xml:space="preserve"> </v>
      </c>
      <c r="Z117" s="236" t="str">
        <f>IF(Variable!$B$4='lifeCycle Costs calculation'!$B117,$J$27*(1+inputdata!$E$4)^('lifeCycle Costs calculation'!AA$38-1)," ")</f>
        <v xml:space="preserve"> </v>
      </c>
      <c r="AA117" s="236" t="str">
        <f>IF(Variable!$B$4='lifeCycle Costs calculation'!$B117,$J$27*(1+inputdata!$E$4)^('lifeCycle Costs calculation'!AB$38-1)," ")</f>
        <v xml:space="preserve"> </v>
      </c>
      <c r="AB117" s="236" t="str">
        <f>IF(Variable!$B$4='lifeCycle Costs calculation'!$B117,$J$27*(1+inputdata!$E$4)^('lifeCycle Costs calculation'!AC$38-1)," ")</f>
        <v xml:space="preserve"> </v>
      </c>
      <c r="AC117" s="236" t="str">
        <f>IF(Variable!$B$4='lifeCycle Costs calculation'!$B117,$J$27*(1+inputdata!$E$4)^('lifeCycle Costs calculation'!AD$38-1)," ")</f>
        <v xml:space="preserve"> </v>
      </c>
      <c r="AD117" s="236" t="str">
        <f>IF(Variable!$B$4='lifeCycle Costs calculation'!$B117,$J$27*(1+inputdata!$E$4)^('lifeCycle Costs calculation'!AE$38-1)," ")</f>
        <v xml:space="preserve"> </v>
      </c>
      <c r="AE117" s="236" t="str">
        <f>IF(Variable!$B$4='lifeCycle Costs calculation'!$B117,$J$27*(1+inputdata!$E$4)^('lifeCycle Costs calculation'!AF$38-1)," ")</f>
        <v xml:space="preserve"> </v>
      </c>
      <c r="AF117" s="236" t="str">
        <f>IF(Variable!$B$4='lifeCycle Costs calculation'!$B117,$J$27*(1+inputdata!$E$4)^('lifeCycle Costs calculation'!AG$38-1)," ")</f>
        <v xml:space="preserve"> </v>
      </c>
      <c r="AG117" s="236" t="str">
        <f>IF(Variable!$B$4='lifeCycle Costs calculation'!$B117,$J$27*(1+inputdata!$E$4)^('lifeCycle Costs calculation'!AH$38-1)," ")</f>
        <v xml:space="preserve"> </v>
      </c>
    </row>
    <row r="118" spans="1:33" x14ac:dyDescent="0.2">
      <c r="A118"/>
    </row>
    <row r="119" spans="1:33" x14ac:dyDescent="0.2">
      <c r="A119"/>
    </row>
    <row r="120" spans="1:33" x14ac:dyDescent="0.2">
      <c r="A120"/>
    </row>
    <row r="121" spans="1:33" x14ac:dyDescent="0.2">
      <c r="A121"/>
    </row>
    <row r="122" spans="1:33" x14ac:dyDescent="0.2">
      <c r="A122"/>
    </row>
    <row r="123" spans="1:33" x14ac:dyDescent="0.2">
      <c r="A123"/>
    </row>
    <row r="124" spans="1:33" x14ac:dyDescent="0.2">
      <c r="A124"/>
    </row>
    <row r="125" spans="1:33" x14ac:dyDescent="0.2">
      <c r="A125"/>
    </row>
  </sheetData>
  <dataConsolidate/>
  <mergeCells count="15">
    <mergeCell ref="A94:B94"/>
    <mergeCell ref="A93:B93"/>
    <mergeCell ref="A107:B107"/>
    <mergeCell ref="A106:B106"/>
    <mergeCell ref="A29:C29"/>
    <mergeCell ref="A80:B80"/>
    <mergeCell ref="A60:C60"/>
    <mergeCell ref="A46:C46"/>
    <mergeCell ref="A51:C51"/>
    <mergeCell ref="A41:C41"/>
    <mergeCell ref="G4:I4"/>
    <mergeCell ref="A36:B36"/>
    <mergeCell ref="B5:B6"/>
    <mergeCell ref="A5:A6"/>
    <mergeCell ref="D27:E27"/>
  </mergeCells>
  <conditionalFormatting sqref="C7:C26 E7:F26">
    <cfRule type="notContainsBlanks" dxfId="17" priority="10">
      <formula>LEN(TRIM(C7))&gt;0</formula>
    </cfRule>
  </conditionalFormatting>
  <conditionalFormatting sqref="G7:G26">
    <cfRule type="notContainsBlanks" priority="9">
      <formula>LEN(TRIM(G7))&gt;0</formula>
    </cfRule>
  </conditionalFormatting>
  <conditionalFormatting sqref="G7:G26">
    <cfRule type="notContainsBlanks" dxfId="16" priority="8">
      <formula>LEN(TRIM(G7))&gt;0</formula>
    </cfRule>
  </conditionalFormatting>
  <conditionalFormatting sqref="H7:H26">
    <cfRule type="notContainsBlanks" priority="7">
      <formula>LEN(TRIM(H7))&gt;0</formula>
    </cfRule>
  </conditionalFormatting>
  <conditionalFormatting sqref="H7:H26">
    <cfRule type="notContainsBlanks" dxfId="15" priority="6">
      <formula>LEN(TRIM(H7))&gt;0</formula>
    </cfRule>
  </conditionalFormatting>
  <conditionalFormatting sqref="I7:I26">
    <cfRule type="notContainsBlanks" priority="5">
      <formula>LEN(TRIM(I7))&gt;0</formula>
    </cfRule>
  </conditionalFormatting>
  <conditionalFormatting sqref="I7:I26">
    <cfRule type="notContainsBlanks" dxfId="14" priority="4">
      <formula>LEN(TRIM(I7))&gt;0</formula>
    </cfRule>
  </conditionalFormatting>
  <conditionalFormatting sqref="J7:J26">
    <cfRule type="notContainsBlanks" dxfId="13" priority="3">
      <formula>LEN(TRIM(J7))&gt;0</formula>
    </cfRule>
  </conditionalFormatting>
  <conditionalFormatting sqref="B7:B26">
    <cfRule type="notContainsBlanks" dxfId="12" priority="2">
      <formula>LEN(TRIM(B7))&gt;0</formula>
    </cfRule>
  </conditionalFormatting>
  <conditionalFormatting sqref="D7:D26">
    <cfRule type="notContainsBlanks" dxfId="11" priority="1">
      <formula>LEN(TRIM(D7))&gt;0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V58"/>
  <sheetViews>
    <sheetView topLeftCell="C34" zoomScale="90" zoomScaleNormal="90" workbookViewId="0">
      <selection activeCell="C4" sqref="C4"/>
    </sheetView>
  </sheetViews>
  <sheetFormatPr defaultRowHeight="12.75" x14ac:dyDescent="0.2"/>
  <cols>
    <col min="1" max="1" width="19.5703125" bestFit="1" customWidth="1"/>
    <col min="2" max="4" width="22.5703125" customWidth="1"/>
    <col min="5" max="5" width="22.28515625" bestFit="1" customWidth="1"/>
    <col min="6" max="6" width="17.5703125" customWidth="1"/>
    <col min="7" max="7" width="25" customWidth="1"/>
    <col min="8" max="8" width="17.28515625" customWidth="1"/>
    <col min="9" max="9" width="15.7109375" bestFit="1" customWidth="1"/>
    <col min="10" max="10" width="12.5703125" bestFit="1" customWidth="1"/>
    <col min="11" max="11" width="17.85546875" bestFit="1" customWidth="1"/>
    <col min="12" max="12" width="17.85546875" customWidth="1"/>
    <col min="13" max="13" width="16.5703125" customWidth="1"/>
    <col min="14" max="14" width="13.42578125" customWidth="1"/>
    <col min="15" max="15" width="14.5703125" customWidth="1"/>
    <col min="16" max="16" width="17.7109375" bestFit="1" customWidth="1"/>
    <col min="17" max="17" width="17.7109375" customWidth="1"/>
    <col min="18" max="19" width="12.85546875" customWidth="1"/>
    <col min="20" max="20" width="12.5703125" customWidth="1"/>
    <col min="22" max="22" width="12.42578125" style="1" bestFit="1" customWidth="1"/>
    <col min="23" max="23" width="9.140625" customWidth="1"/>
    <col min="25" max="25" width="21.42578125" bestFit="1" customWidth="1"/>
  </cols>
  <sheetData>
    <row r="1" spans="1:22" ht="25.5" x14ac:dyDescent="0.2">
      <c r="C1" s="132" t="s">
        <v>192</v>
      </c>
      <c r="D1" s="456" t="s">
        <v>73</v>
      </c>
      <c r="E1" s="456"/>
      <c r="F1" s="456"/>
      <c r="G1" s="456"/>
      <c r="H1" s="175" t="s">
        <v>337</v>
      </c>
    </row>
    <row r="2" spans="1:22" x14ac:dyDescent="0.2">
      <c r="C2" s="361">
        <f>D28</f>
        <v>4131.5652292043487</v>
      </c>
      <c r="D2" s="19" t="s">
        <v>71</v>
      </c>
      <c r="E2" s="20" t="s">
        <v>56</v>
      </c>
      <c r="F2" s="20" t="s">
        <v>57</v>
      </c>
      <c r="G2" s="21" t="s">
        <v>17</v>
      </c>
      <c r="H2" s="175" t="s">
        <v>191</v>
      </c>
      <c r="U2" s="1"/>
      <c r="V2"/>
    </row>
    <row r="3" spans="1:22" x14ac:dyDescent="0.2">
      <c r="D3" s="15">
        <f>VLOOKUP(Variable!$B$4,inputdata!B37:K50,2,0)*Variable!B5+VLOOKUP(Variable!$C$4,inputdata!B37:K50,2,0)*Variable!C5</f>
        <v>4</v>
      </c>
      <c r="E3" s="15">
        <f>VLOOKUP(Variable!$B$4,inputdata!$B$37:$I439,3,0)*Variable!$B$5+VLOOKUP(Variable!$C$4,inputdata!$B$37:$G$51,3,0)*Variable!$C$5</f>
        <v>21</v>
      </c>
      <c r="F3" s="15">
        <f>VLOOKUP(Variable!$B$4,inputdata!$B$37:$I$70,4,0)*Variable!$B$5+VLOOKUP(Variable!$C$4,inputdata!$B$37:$G$51,4,0)*Variable!$C$5</f>
        <v>6.5</v>
      </c>
      <c r="G3" s="15">
        <f>VLOOKUP(Variable!$B$4,inputdata!$B$37:$I$50,5,0)*Variable!$B$5+VLOOKUP(Variable!$C$4,inputdata!$B$37:$G$51,5,0)*Variable!$C$5</f>
        <v>50</v>
      </c>
      <c r="H3" s="360">
        <f>VLOOKUP(Variable!B4,inputdata!B37:G48,6,0)</f>
        <v>30.24</v>
      </c>
    </row>
    <row r="4" spans="1:22" ht="25.5" customHeight="1" x14ac:dyDescent="0.2"/>
    <row r="5" spans="1:22" ht="26.25" customHeight="1" x14ac:dyDescent="0.2">
      <c r="A5" s="122" t="str">
        <f>Variable!B3</f>
        <v xml:space="preserve">spring-summer season </v>
      </c>
      <c r="B5" s="53" t="s">
        <v>142</v>
      </c>
      <c r="C5" s="53" t="s">
        <v>61</v>
      </c>
      <c r="D5" s="493" t="str">
        <f>Variable!B21</f>
        <v xml:space="preserve">select irrigation method </v>
      </c>
      <c r="E5" s="137" t="s">
        <v>126</v>
      </c>
      <c r="F5" s="137" t="s">
        <v>126</v>
      </c>
      <c r="G5" s="138" t="s">
        <v>62</v>
      </c>
      <c r="V5"/>
    </row>
    <row r="6" spans="1:22" x14ac:dyDescent="0.2">
      <c r="A6" s="131" t="s">
        <v>125</v>
      </c>
      <c r="B6" s="14" t="s">
        <v>156</v>
      </c>
      <c r="C6" s="46" t="s">
        <v>157</v>
      </c>
      <c r="D6" s="494"/>
      <c r="E6" s="137" t="s">
        <v>124</v>
      </c>
      <c r="F6" s="137" t="s">
        <v>160</v>
      </c>
      <c r="G6" s="139" t="s">
        <v>158</v>
      </c>
      <c r="V6"/>
    </row>
    <row r="7" spans="1:22" x14ac:dyDescent="0.2">
      <c r="A7" s="13" t="str">
        <f>inputdata!A13</f>
        <v xml:space="preserve">wheat </v>
      </c>
      <c r="B7" s="14" t="str">
        <f>INDEX(Table1[[ ETc m3/ha/year]:[ ETc m3/ha/season2]],MATCH(inputdata!A13,Table1[[crops ]],0),MATCH(Variable!$B$3,inputdata!$B$11:$D$11,0))</f>
        <v>-</v>
      </c>
      <c r="C7" s="14" t="str">
        <f>IF(B7="-","",IF(Variable!B22=inputdata!$A$9,inputdata!E13*('water demand calculation'!$B7)/VLOOKUP(Variable!B22,inputdata!$A$7:$B$9,2,0),('water demand calculation'!$B7)/VLOOKUP(Variable!B22,inputdata!$A$7:$B$9,2,0)))</f>
        <v/>
      </c>
      <c r="D7" s="136" t="str">
        <f>IF(C7="","",Variable!B22)</f>
        <v/>
      </c>
      <c r="E7" s="136" t="str">
        <f>IF(OR(C7="",C7=0),"",IF(OR(Variable!B22=inputdata!$A$7,Variable!B22=inputdata!$A$8),('water demand calculation'!$D$3/(5*inputdata!I13-'water demand calculation'!$D$3)),('water demand calculation'!$D$3/(2*inputdata!G13))))</f>
        <v/>
      </c>
      <c r="F7" s="136" t="str">
        <f>IF(C7="","",IF(E7&gt;Variable!$B$6,"",'water demand calculation'!E7))</f>
        <v/>
      </c>
      <c r="G7" s="217" t="str">
        <f t="shared" ref="G7:G26" si="0">IF(OR(C7="",F7=""),"",C7/(1-F7))</f>
        <v/>
      </c>
      <c r="V7"/>
    </row>
    <row r="8" spans="1:22" x14ac:dyDescent="0.2">
      <c r="A8" s="13" t="str">
        <f>inputdata!A14</f>
        <v>barley</v>
      </c>
      <c r="B8" s="14" t="str">
        <f>INDEX(Table1[[ ETc m3/ha/year]:[ ETc m3/ha/season2]],MATCH(inputdata!A14,Table1[[crops ]],0),MATCH(Variable!$B$3,inputdata!$B$11:$D$11,0))</f>
        <v>-</v>
      </c>
      <c r="C8" s="14" t="str">
        <f>IF(B8="-","",IF(Variable!B23=inputdata!$A$9,inputdata!E14*('water demand calculation'!$B8)/VLOOKUP(Variable!B23,inputdata!$A$7:$B$9,2,0),('water demand calculation'!$B8)/VLOOKUP(Variable!B23,inputdata!$A$7:$B$9,2,0)))</f>
        <v/>
      </c>
      <c r="D8" s="136" t="str">
        <f>IF(C8="","",Variable!B23)</f>
        <v/>
      </c>
      <c r="E8" s="136" t="str">
        <f>IF(OR(C8="",C8=0),"",IF(OR(Variable!B23=inputdata!$A$7,Variable!B23=inputdata!$A$8),('water demand calculation'!$D$3/(5*inputdata!I14-'water demand calculation'!$D$3)),('water demand calculation'!$D$3/(2*inputdata!G14))))</f>
        <v/>
      </c>
      <c r="F8" s="136" t="str">
        <f>IF(C8="","",IF(E8&gt;Variable!$B$6,"",'water demand calculation'!E8))</f>
        <v/>
      </c>
      <c r="G8" s="217" t="str">
        <f t="shared" si="0"/>
        <v/>
      </c>
      <c r="V8"/>
    </row>
    <row r="9" spans="1:22" ht="13.5" customHeight="1" x14ac:dyDescent="0.2">
      <c r="A9" s="13" t="str">
        <f>inputdata!A15</f>
        <v>peas*</v>
      </c>
      <c r="B9" s="14" t="str">
        <f>INDEX(Table1[[ ETc m3/ha/year]:[ ETc m3/ha/season2]],MATCH(inputdata!A15,Table1[[crops ]],0),MATCH(Variable!$B$3,inputdata!$B$11:$D$11,0))</f>
        <v>-</v>
      </c>
      <c r="C9" s="14" t="str">
        <f>IF(B9="-","",IF(Variable!B24=inputdata!$A$9,inputdata!E15*('water demand calculation'!$B9)/VLOOKUP(Variable!B24,inputdata!$A$7:$B$9,2,0),('water demand calculation'!$B9)/VLOOKUP(Variable!B24,inputdata!$A$7:$B$9,2,0)))</f>
        <v/>
      </c>
      <c r="D9" s="136" t="str">
        <f>IF(C9="","",Variable!B24)</f>
        <v/>
      </c>
      <c r="E9" s="136" t="str">
        <f>IF(OR(C9="",C9=0),"",IF(OR(Variable!B24=inputdata!$A$7,Variable!B24=inputdata!$A$8),('water demand calculation'!$D$3/(5*inputdata!I15-'water demand calculation'!$D$3)),('water demand calculation'!$D$3/(2*inputdata!G15))))</f>
        <v/>
      </c>
      <c r="F9" s="136" t="str">
        <f>IF(C9="","",IF(E9&gt;Variable!$B$6,"",'water demand calculation'!E9))</f>
        <v/>
      </c>
      <c r="G9" s="217" t="str">
        <f t="shared" si="0"/>
        <v/>
      </c>
      <c r="V9"/>
    </row>
    <row r="10" spans="1:22" x14ac:dyDescent="0.2">
      <c r="A10" s="13" t="str">
        <f>inputdata!A16</f>
        <v>broad beans*</v>
      </c>
      <c r="B10" s="14" t="str">
        <f>INDEX(Table1[[ ETc m3/ha/year]:[ ETc m3/ha/season2]],MATCH(inputdata!A16,Table1[[crops ]],0),MATCH(Variable!$B$3,inputdata!$B$11:$D$11,0))</f>
        <v>-</v>
      </c>
      <c r="C10" s="14" t="str">
        <f>IF(B10="-","",IF(Variable!B25=inputdata!$A$9,inputdata!E16*('water demand calculation'!$B10)/VLOOKUP(Variable!B25,inputdata!$A$7:$B$9,2,0),('water demand calculation'!$B10)/VLOOKUP(Variable!B25,inputdata!$A$7:$B$9,2,0)))</f>
        <v/>
      </c>
      <c r="D10" s="136" t="str">
        <f>IF(C10="","",Variable!B25)</f>
        <v/>
      </c>
      <c r="E10" s="136" t="str">
        <f>IF(OR(C10="",C10=0),"",IF(OR(Variable!B25=inputdata!$A$7,Variable!B25=inputdata!$A$8),('water demand calculation'!$D$3/(5*inputdata!I16-'water demand calculation'!$D$3)),('water demand calculation'!$D$3/(2*inputdata!G16))))</f>
        <v/>
      </c>
      <c r="F10" s="136" t="str">
        <f>IF(C10="","",IF(E10&gt;Variable!$B$6,"",'water demand calculation'!E10))</f>
        <v/>
      </c>
      <c r="G10" s="217" t="str">
        <f t="shared" si="0"/>
        <v/>
      </c>
      <c r="V10"/>
    </row>
    <row r="11" spans="1:22" x14ac:dyDescent="0.2">
      <c r="A11" s="13" t="str">
        <f>inputdata!A17</f>
        <v>oat</v>
      </c>
      <c r="B11" s="14" t="str">
        <f>INDEX(Table1[[ ETc m3/ha/year]:[ ETc m3/ha/season2]],MATCH(inputdata!A17,Table1[[crops ]],0),MATCH(Variable!$B$3,inputdata!$B$11:$D$11,0))</f>
        <v>-</v>
      </c>
      <c r="C11" s="14" t="str">
        <f>IF(B11="-","",IF(Variable!B26=inputdata!$A$9,inputdata!E17*('water demand calculation'!$B11)/VLOOKUP(Variable!B26,inputdata!$A$7:$B$9,2,0),('water demand calculation'!$B11)/VLOOKUP(Variable!B26,inputdata!$A$7:$B$9,2,0)))</f>
        <v/>
      </c>
      <c r="D11" s="136" t="str">
        <f>IF(C11="","",Variable!B26)</f>
        <v/>
      </c>
      <c r="E11" s="136" t="str">
        <f>IF(OR(C11="",C11=0),"",IF(OR(Variable!B26=inputdata!$A$7,Variable!B26=inputdata!$A$8),('water demand calculation'!$D$3/(5*inputdata!I17-'water demand calculation'!$D$3)),('water demand calculation'!$D$3/(2*inputdata!G17))))</f>
        <v/>
      </c>
      <c r="F11" s="136" t="str">
        <f>IF(C11="","",IF(E11&gt;Variable!$B$6,"",'water demand calculation'!E11))</f>
        <v/>
      </c>
      <c r="G11" s="217" t="str">
        <f t="shared" si="0"/>
        <v/>
      </c>
      <c r="V11"/>
    </row>
    <row r="12" spans="1:22" x14ac:dyDescent="0.2">
      <c r="A12" s="13" t="str">
        <f>inputdata!A18</f>
        <v>potato</v>
      </c>
      <c r="B12" s="14" t="str">
        <f>INDEX(Table1[[ ETc m3/ha/year]:[ ETc m3/ha/season2]],MATCH(inputdata!A18,Table1[[crops ]],0),MATCH(Variable!$B$3,inputdata!$B$11:$D$11,0))</f>
        <v>-</v>
      </c>
      <c r="C12" s="14" t="str">
        <f>IF(B12="-","",IF(Variable!B27=inputdata!$A$9,inputdata!E18*('water demand calculation'!$B12)/VLOOKUP(Variable!B27,inputdata!$A$7:$B$9,2,0),('water demand calculation'!$B12)/VLOOKUP(Variable!B27,inputdata!$A$7:$B$9,2,0)))</f>
        <v/>
      </c>
      <c r="D12" s="136" t="str">
        <f>IF(C12="","",Variable!B27)</f>
        <v/>
      </c>
      <c r="E12" s="136" t="str">
        <f>IF(OR(C12="",C12=0),"",IF(OR(Variable!B27=inputdata!$A$7,Variable!B27=inputdata!$A$8),('water demand calculation'!$D$3/(5*inputdata!I18-'water demand calculation'!$D$3)),('water demand calculation'!$D$3/(2*inputdata!G18))))</f>
        <v/>
      </c>
      <c r="F12" s="136" t="str">
        <f>IF(C12="","",IF(E12&gt;Variable!$B$6,"",'water demand calculation'!E12))</f>
        <v/>
      </c>
      <c r="G12" s="217" t="str">
        <f t="shared" si="0"/>
        <v/>
      </c>
      <c r="V12"/>
    </row>
    <row r="13" spans="1:22" x14ac:dyDescent="0.2">
      <c r="A13" s="13" t="str">
        <f>inputdata!A19</f>
        <v>onion</v>
      </c>
      <c r="B13" s="14">
        <f>INDEX(Table1[[ ETc m3/ha/year]:[ ETc m3/ha/season2]],MATCH(inputdata!A19,Table1[[crops ]],0),MATCH(Variable!$B$3,inputdata!$B$11:$D$11,0))</f>
        <v>5410</v>
      </c>
      <c r="C13" s="14">
        <f>IF(B13="-","",IF(Variable!B28=inputdata!$A$9,inputdata!E19*('water demand calculation'!$B13)/VLOOKUP(Variable!B28,inputdata!$A$7:$B$9,2,0),('water demand calculation'!$B13)/VLOOKUP(Variable!B28,inputdata!$A$7:$B$9,2,0)))</f>
        <v>6011.1111111111113</v>
      </c>
      <c r="D13" s="136" t="str">
        <f>IF(C13="","",Variable!B28)</f>
        <v xml:space="preserve">drip </v>
      </c>
      <c r="E13" s="136">
        <f>IF(OR(C13="",C13=0),"",IF(OR(Variable!B28=inputdata!$A$7,Variable!B28=inputdata!$A$8),('water demand calculation'!$D$3/(5*inputdata!I19-'water demand calculation'!$D$3)),('water demand calculation'!$D$3/(2*inputdata!G19))))</f>
        <v>0.27027027027027023</v>
      </c>
      <c r="F13" s="136" t="str">
        <f>IF(C13="","",IF(E13&gt;Variable!$B$6,"",'water demand calculation'!E13))</f>
        <v/>
      </c>
      <c r="G13" s="217" t="str">
        <f t="shared" si="0"/>
        <v/>
      </c>
      <c r="V13"/>
    </row>
    <row r="14" spans="1:22" x14ac:dyDescent="0.2">
      <c r="A14" s="13" t="str">
        <f>inputdata!A20</f>
        <v>lettuce and Green-Leaf Crops</v>
      </c>
      <c r="B14" s="14">
        <f>INDEX(Table1[[ ETc m3/ha/year]:[ ETc m3/ha/season2]],MATCH(inputdata!A20,Table1[[crops ]],0),MATCH(Variable!$B$3,inputdata!$B$11:$D$11,0))</f>
        <v>3060</v>
      </c>
      <c r="C14" s="14">
        <f>IF(B14="-","",IF(Variable!B29=inputdata!$A$9,inputdata!E20*('water demand calculation'!$B14)/VLOOKUP(Variable!B29,inputdata!$A$7:$B$9,2,0),('water demand calculation'!$B14)/VLOOKUP(Variable!B29,inputdata!$A$7:$B$9,2,0)))</f>
        <v>3400</v>
      </c>
      <c r="D14" s="136" t="str">
        <f>IF(C14="","",Variable!B29)</f>
        <v xml:space="preserve">drip </v>
      </c>
      <c r="E14" s="136">
        <f>IF(OR(C14="",C14=0),"",IF(OR(Variable!B29=inputdata!$A$7,Variable!B29=inputdata!$A$8),('water demand calculation'!$D$3/(5*inputdata!I20-'water demand calculation'!$D$3)),('water demand calculation'!$D$3/(2*inputdata!G20))))</f>
        <v>0.22222222222222221</v>
      </c>
      <c r="F14" s="136">
        <f>IF(C14="","",IF(E14&gt;Variable!$B$6,"",'water demand calculation'!E14))</f>
        <v>0.22222222222222221</v>
      </c>
      <c r="G14" s="217">
        <f t="shared" si="0"/>
        <v>4371.4285714285716</v>
      </c>
      <c r="V14"/>
    </row>
    <row r="15" spans="1:22" x14ac:dyDescent="0.2">
      <c r="A15" s="13" t="str">
        <f>inputdata!A21</f>
        <v xml:space="preserve">carrot </v>
      </c>
      <c r="B15" s="14">
        <f>INDEX(Table1[[ ETc m3/ha/year]:[ ETc m3/ha/season2]],MATCH(inputdata!A21,Table1[[crops ]],0),MATCH(Variable!$B$3,inputdata!$B$11:$D$11,0))</f>
        <v>3860</v>
      </c>
      <c r="C15" s="14">
        <f>IF(B15="-","",IF(Variable!B30=inputdata!$A$9,inputdata!E21*('water demand calculation'!$B15)/VLOOKUP(Variable!B30,inputdata!$A$7:$B$9,2,0),('water demand calculation'!$B15)/VLOOKUP(Variable!B30,inputdata!$A$7:$B$9,2,0)))</f>
        <v>4288.8888888888887</v>
      </c>
      <c r="D15" s="136" t="str">
        <f>IF(C15="","",Variable!B30)</f>
        <v xml:space="preserve">drip </v>
      </c>
      <c r="E15" s="136">
        <f>IF(OR(C15="",C15=0),"",IF(OR(Variable!B30=inputdata!$A$7,Variable!B30=inputdata!$A$8),('water demand calculation'!$D$3/(5*inputdata!I21-'water demand calculation'!$D$3)),('water demand calculation'!$D$3/(2*inputdata!G21))))</f>
        <v>0.24691358024691359</v>
      </c>
      <c r="F15" s="136">
        <f>IF(C15="","",IF(E15&gt;Variable!$B$6,"",'water demand calculation'!E15))</f>
        <v>0.24691358024691359</v>
      </c>
      <c r="G15" s="217">
        <f t="shared" si="0"/>
        <v>5695.0819672131147</v>
      </c>
      <c r="V15"/>
    </row>
    <row r="16" spans="1:22" x14ac:dyDescent="0.2">
      <c r="A16" s="13" t="str">
        <f>inputdata!A22</f>
        <v xml:space="preserve">Radish </v>
      </c>
      <c r="B16" s="14">
        <f>INDEX(Table1[[ ETc m3/ha/year]:[ ETc m3/ha/season2]],MATCH(inputdata!A22,Table1[[crops ]],0),MATCH(Variable!$B$3,inputdata!$B$11:$D$11,0))</f>
        <v>1220</v>
      </c>
      <c r="C16" s="14">
        <f>IF(B16="-","",IF(Variable!B31=inputdata!$A$9,inputdata!E22*('water demand calculation'!$B16)/VLOOKUP(Variable!B31,inputdata!$A$7:$B$9,2,0),('water demand calculation'!$B16)/VLOOKUP(Variable!B31,inputdata!$A$7:$B$9,2,0)))</f>
        <v>1355.5555555555554</v>
      </c>
      <c r="D16" s="136" t="str">
        <f>IF(C16="","",Variable!B31)</f>
        <v xml:space="preserve">drip </v>
      </c>
      <c r="E16" s="136">
        <f>IF(OR(C16="",C16=0),"",IF(OR(Variable!B31=inputdata!$A$7,Variable!B31=inputdata!$A$8),('water demand calculation'!$D$3/(5*inputdata!I22-'water demand calculation'!$D$3)),('water demand calculation'!$D$3/(2*inputdata!G22))))</f>
        <v>0.2247191011235955</v>
      </c>
      <c r="F16" s="136">
        <f>IF(C16="","",IF(E16&gt;Variable!$B$6,"",'water demand calculation'!E16))</f>
        <v>0.2247191011235955</v>
      </c>
      <c r="G16" s="217">
        <f t="shared" si="0"/>
        <v>1748.4702093397743</v>
      </c>
      <c r="V16"/>
    </row>
    <row r="17" spans="1:22" x14ac:dyDescent="0.2">
      <c r="A17" s="13" t="str">
        <f>inputdata!A23</f>
        <v>Millets</v>
      </c>
      <c r="B17" s="14">
        <f>INDEX(Table1[[ ETc m3/ha/year]:[ ETc m3/ha/season2]],MATCH(inputdata!A23,Table1[[crops ]],0),MATCH(Variable!$B$3,inputdata!$B$11:$D$11,0))</f>
        <v>4920</v>
      </c>
      <c r="C17" s="14">
        <f>IF(B17="-","",IF(Variable!B32=inputdata!$A$9,inputdata!E23*('water demand calculation'!$B17)/VLOOKUP(Variable!B32,inputdata!$A$7:$B$9,2,0),('water demand calculation'!$B17)/VLOOKUP(Variable!B32,inputdata!$A$7:$B$9,2,0)))</f>
        <v>6560</v>
      </c>
      <c r="D17" s="136" t="str">
        <f>IF(C17="","",Variable!B32)</f>
        <v xml:space="preserve">sprinkle </v>
      </c>
      <c r="E17" s="136">
        <f>IF(OR(C17="",C17=0),"",IF(OR(Variable!B32=inputdata!$A$7,Variable!B32=inputdata!$A$8),('water demand calculation'!$D$3/(5*inputdata!I23-'water demand calculation'!$D$3)),('water demand calculation'!$D$3/(2*inputdata!G23))))</f>
        <v>0.15384615384615385</v>
      </c>
      <c r="F17" s="2">
        <f>IF(C17="","",IF(E17&gt;Variable!$B$6,"",'water demand calculation'!E17))</f>
        <v>0.15384615384615385</v>
      </c>
      <c r="G17" s="216">
        <f t="shared" si="0"/>
        <v>7752.727272727273</v>
      </c>
      <c r="V17"/>
    </row>
    <row r="18" spans="1:22" x14ac:dyDescent="0.2">
      <c r="A18" s="13" t="str">
        <f>inputdata!A24</f>
        <v>tomato</v>
      </c>
      <c r="B18" s="14">
        <f>INDEX(Table1[[ ETc m3/ha/year]:[ ETc m3/ha/season2]],MATCH(inputdata!A24,Table1[[crops ]],0),MATCH(Variable!$B$3,inputdata!$B$11:$D$11,0))</f>
        <v>5790</v>
      </c>
      <c r="C18" s="14">
        <f>IF(B18="-","",IF(Variable!B33=inputdata!$A$9,inputdata!E24*('water demand calculation'!$B18)/VLOOKUP(Variable!B33,inputdata!$A$7:$B$9,2,0),('water demand calculation'!$B18)/VLOOKUP(Variable!B33,inputdata!$A$7:$B$9,2,0)))</f>
        <v>6433.333333333333</v>
      </c>
      <c r="D18" s="136" t="str">
        <f>IF(C18="","",Variable!B33)</f>
        <v xml:space="preserve">drip </v>
      </c>
      <c r="E18" s="136">
        <f>IF(OR(C18="",C18=0),"",IF(OR(Variable!B33=inputdata!$A$7,Variable!B33=inputdata!$A$8),('water demand calculation'!$D$3/(5*inputdata!I24-'water demand calculation'!$D$3)),('water demand calculation'!$D$3/(2*inputdata!G24))))</f>
        <v>0.15384615384615385</v>
      </c>
      <c r="F18" s="2">
        <f>IF(C18="","",IF(E18&gt;Variable!$B$6,"",'water demand calculation'!E18))</f>
        <v>0.15384615384615385</v>
      </c>
      <c r="G18" s="216">
        <f t="shared" si="0"/>
        <v>7603.030303030303</v>
      </c>
      <c r="V18"/>
    </row>
    <row r="19" spans="1:22" x14ac:dyDescent="0.2">
      <c r="A19" s="13" t="str">
        <f>inputdata!A25</f>
        <v>water melon</v>
      </c>
      <c r="B19" s="14">
        <f>INDEX(Table1[[ ETc m3/ha/year]:[ ETc m3/ha/season2]],MATCH(inputdata!A25,Table1[[crops ]],0),MATCH(Variable!$B$3,inputdata!$B$11:$D$11,0))</f>
        <v>6850</v>
      </c>
      <c r="C19" s="14">
        <f>IF(B19="-","",IF(Variable!B34=inputdata!$A$9,inputdata!E25*('water demand calculation'!$B19)/VLOOKUP(Variable!B34,inputdata!$A$7:$B$9,2,0),('water demand calculation'!$B19)/VLOOKUP(Variable!B34,inputdata!$A$7:$B$9,2,0)))</f>
        <v>7611.1111111111113</v>
      </c>
      <c r="D19" s="136" t="str">
        <f>IF(C19="","",Variable!B34)</f>
        <v xml:space="preserve">drip </v>
      </c>
      <c r="E19" s="136">
        <f>IF(OR(C19="",C19=0),"",IF(OR(Variable!B34=inputdata!$A$7,Variable!B34=inputdata!$A$8),('water demand calculation'!$D$3/(5*inputdata!I25-'water demand calculation'!$D$3)),('water demand calculation'!$D$3/(2*inputdata!G25))))</f>
        <v>0.25641025641025644</v>
      </c>
      <c r="F19" s="2" t="str">
        <f>IF(C19="","",IF(E19&gt;Variable!$B$6,"",'water demand calculation'!E19))</f>
        <v/>
      </c>
      <c r="G19" s="216" t="str">
        <f t="shared" si="0"/>
        <v/>
      </c>
      <c r="V19"/>
    </row>
    <row r="20" spans="1:22" x14ac:dyDescent="0.2">
      <c r="A20" s="13" t="str">
        <f>inputdata!A26</f>
        <v>cucumber</v>
      </c>
      <c r="B20" s="14">
        <f>INDEX(Table1[[ ETc m3/ha/year]:[ ETc m3/ha/season2]],MATCH(inputdata!A26,Table1[[crops ]],0),MATCH(Variable!$B$3,inputdata!$B$11:$D$11,0))</f>
        <v>3910</v>
      </c>
      <c r="C20" s="14">
        <f>IF(B20="-","",IF(Variable!B35=inputdata!$A$9,inputdata!E26*('water demand calculation'!$B20)/VLOOKUP(Variable!B35,inputdata!$A$7:$B$9,2,0),('water demand calculation'!$B20)/VLOOKUP(Variable!B35,inputdata!$A$7:$B$9,2,0)))</f>
        <v>4344.4444444444443</v>
      </c>
      <c r="D20" s="136" t="str">
        <f>IF(C20="","",Variable!B35)</f>
        <v xml:space="preserve">drip </v>
      </c>
      <c r="E20" s="136">
        <f>IF(OR(C20="",C20=0),"",IF(OR(Variable!B35=inputdata!$A$7,Variable!B35=inputdata!$A$8),('water demand calculation'!$D$3/(5*inputdata!I26-'water demand calculation'!$D$3)),('water demand calculation'!$D$3/(2*inputdata!G26))))</f>
        <v>0.2</v>
      </c>
      <c r="F20" s="2">
        <f>IF(C20="","",IF(E20&gt;Variable!$B$6,"",'water demand calculation'!E20))</f>
        <v>0.2</v>
      </c>
      <c r="G20" s="216">
        <f t="shared" si="0"/>
        <v>5430.5555555555547</v>
      </c>
      <c r="V20"/>
    </row>
    <row r="21" spans="1:22" x14ac:dyDescent="0.2">
      <c r="A21" s="13" t="str">
        <f>inputdata!A27</f>
        <v>eggplant</v>
      </c>
      <c r="B21" s="14">
        <f>INDEX(Table1[[ ETc m3/ha/year]:[ ETc m3/ha/season2]],MATCH(inputdata!A27,Table1[[crops ]],0),MATCH(Variable!$B$3,inputdata!$B$11:$D$11,0))</f>
        <v>7890</v>
      </c>
      <c r="C21" s="14">
        <f>IF(B21="-","",IF(Variable!B36=inputdata!$A$9,inputdata!E27*('water demand calculation'!$B21)/VLOOKUP(Variable!B36,inputdata!$A$7:$B$9,2,0),('water demand calculation'!$B21)/VLOOKUP(Variable!B36,inputdata!$A$7:$B$9,2,0)))</f>
        <v>8766.6666666666661</v>
      </c>
      <c r="D21" s="136" t="str">
        <f>IF(C21="","",Variable!B36)</f>
        <v xml:space="preserve">drip </v>
      </c>
      <c r="E21" s="136">
        <f>IF(OR(C21="",C21=0),"",IF(OR(Variable!B36=inputdata!$A$7,Variable!B36=inputdata!$A$8),('water demand calculation'!$D$3/(5*inputdata!I27-'water demand calculation'!$D$3)),('water demand calculation'!$D$3/(2*inputdata!G27))))</f>
        <v>0.12903225806451613</v>
      </c>
      <c r="F21" s="2">
        <f>IF(C21="","",IF(E21&gt;Variable!$B$6,"",'water demand calculation'!E21))</f>
        <v>0.12903225806451613</v>
      </c>
      <c r="G21" s="216">
        <f t="shared" si="0"/>
        <v>10065.432098765432</v>
      </c>
      <c r="V21"/>
    </row>
    <row r="22" spans="1:22" x14ac:dyDescent="0.2">
      <c r="A22" s="13" t="str">
        <f>inputdata!A28</f>
        <v>pepper</v>
      </c>
      <c r="B22" s="14">
        <f>INDEX(Table1[[ ETc m3/ha/year]:[ ETc m3/ha/season2]],MATCH(inputdata!A28,Table1[[crops ]],0),MATCH(Variable!$B$3,inputdata!$B$11:$D$11,0))</f>
        <v>7690</v>
      </c>
      <c r="C22" s="14">
        <f>IF(B22="-","",IF(Variable!B37=inputdata!$A$9,inputdata!E28*('water demand calculation'!$B22)/VLOOKUP(Variable!B37,inputdata!$A$7:$B$9,2,0),('water demand calculation'!$B22)/VLOOKUP(Variable!B37,inputdata!$A$7:$B$9,2,0)))</f>
        <v>8544.4444444444434</v>
      </c>
      <c r="D22" s="136" t="str">
        <f>IF(C22="","",Variable!B37)</f>
        <v xml:space="preserve">drip </v>
      </c>
      <c r="E22" s="136">
        <f>IF(OR(C22="",C22=0),"",IF(OR(Variable!B37=inputdata!$A$7,Variable!B37=inputdata!$A$8),('water demand calculation'!$D$3/(5*inputdata!I28-'water demand calculation'!$D$3)),('water demand calculation'!$D$3/(2*inputdata!G28))))</f>
        <v>0.23255813953488372</v>
      </c>
      <c r="F22" s="2">
        <f>IF(C22="","",IF(E22&gt;Variable!$B$6,"",'water demand calculation'!E22))</f>
        <v>0.23255813953488372</v>
      </c>
      <c r="G22" s="216">
        <f t="shared" si="0"/>
        <v>11133.670033670032</v>
      </c>
      <c r="V22"/>
    </row>
    <row r="23" spans="1:22" x14ac:dyDescent="0.2">
      <c r="A23" s="13" t="str">
        <f>inputdata!A29</f>
        <v>cauliflower</v>
      </c>
      <c r="B23" s="14">
        <f>INDEX(Table1[[ ETc m3/ha/year]:[ ETc m3/ha/season2]],MATCH(inputdata!A29,Table1[[crops ]],0),MATCH(Variable!$B$3,inputdata!$B$11:$D$11,0))</f>
        <v>4350</v>
      </c>
      <c r="C23" s="14">
        <f>IF(B23="-","",IF(Variable!B38=inputdata!$A$9,inputdata!E29*('water demand calculation'!$B23)/VLOOKUP(Variable!B38,inputdata!$A$7:$B$9,2,0),('water demand calculation'!$B23)/VLOOKUP(Variable!B38,inputdata!$A$7:$B$9,2,0)))</f>
        <v>4833.333333333333</v>
      </c>
      <c r="D23" s="136" t="str">
        <f>IF(C23="","",Variable!B38)</f>
        <v xml:space="preserve">drip </v>
      </c>
      <c r="E23" s="136">
        <f>IF(OR(C23="",C23=0),"",IF(OR(Variable!B38=inputdata!$A$7,Variable!B38=inputdata!$A$8),('water demand calculation'!$D$3/(5*inputdata!I29-'water demand calculation'!$D$3)),('water demand calculation'!$D$3/(2*inputdata!G29))))</f>
        <v>0.18691588785046731</v>
      </c>
      <c r="F23" s="2">
        <f>IF(C23="","",IF(E23&gt;Variable!$B$6,"",'water demand calculation'!E23))</f>
        <v>0.18691588785046731</v>
      </c>
      <c r="G23" s="216">
        <f t="shared" si="0"/>
        <v>5944.4444444444443</v>
      </c>
      <c r="V23"/>
    </row>
    <row r="24" spans="1:22" x14ac:dyDescent="0.2">
      <c r="A24" s="13" t="str">
        <f>inputdata!A30</f>
        <v>olive tree</v>
      </c>
      <c r="B24" s="14" t="str">
        <f>INDEX(Table1[[ ETc m3/ha/year]:[ ETc m3/ha/season2]],MATCH(inputdata!A30,Table1[[crops ]],0),MATCH(Variable!$B$3,inputdata!$B$11:$D$11,0))</f>
        <v>-</v>
      </c>
      <c r="C24" s="14" t="str">
        <f>IF(B24="-","",IF(Variable!B39=inputdata!$A$9,inputdata!E30*('water demand calculation'!$B24)/VLOOKUP(Variable!B39,inputdata!$A$7:$B$9,2,0),('water demand calculation'!$B24)/VLOOKUP(Variable!B39,inputdata!$A$7:$B$9,2,0)))</f>
        <v/>
      </c>
      <c r="D24" s="136" t="str">
        <f>IF(C24="","",Variable!B39)</f>
        <v/>
      </c>
      <c r="E24" s="136" t="str">
        <f>IF(OR(C24="",C24=0),"",IF(OR(Variable!B39=inputdata!$A$7,Variable!B39=inputdata!$A$8),('water demand calculation'!$D$3/(5*inputdata!I30-'water demand calculation'!$D$3)),('water demand calculation'!$D$3/(2*inputdata!G30))))</f>
        <v/>
      </c>
      <c r="F24" s="2" t="str">
        <f>IF(C24="","",IF(E24&gt;Variable!$B$6,"",'water demand calculation'!E24))</f>
        <v/>
      </c>
      <c r="G24" s="216" t="str">
        <f t="shared" si="0"/>
        <v/>
      </c>
      <c r="V24"/>
    </row>
    <row r="25" spans="1:22" x14ac:dyDescent="0.2">
      <c r="A25" s="13" t="str">
        <f>inputdata!A31</f>
        <v>palm tree</v>
      </c>
      <c r="B25" s="14" t="str">
        <f>INDEX(Table1[[ ETc m3/ha/year]:[ ETc m3/ha/season2]],MATCH(inputdata!A31,Table1[[crops ]],0),MATCH(Variable!$B$3,inputdata!$B$11:$D$11,0))</f>
        <v>-</v>
      </c>
      <c r="C25" s="14" t="str">
        <f>IF(B25="-","",IF(Variable!B40=inputdata!$A$9,inputdata!E31*('water demand calculation'!$B25)/VLOOKUP(Variable!B40,inputdata!$A$7:$B$9,2,0),('water demand calculation'!$B25)/VLOOKUP(Variable!B40,inputdata!$A$7:$B$9,2,0)))</f>
        <v/>
      </c>
      <c r="D25" s="136" t="str">
        <f>IF(C25="","",Variable!B40)</f>
        <v/>
      </c>
      <c r="E25" s="136" t="str">
        <f>IF(OR(C25="",C25=0),"",IF(OR(Variable!B40=inputdata!$A$7,Variable!B40=inputdata!$A$8),('water demand calculation'!$D$3/(5*inputdata!I31-'water demand calculation'!$D$3)),('water demand calculation'!$D$3/(2*inputdata!G31))))</f>
        <v/>
      </c>
      <c r="F25" s="2" t="str">
        <f>IF(C25="","",IF(E25&gt;Variable!$B$6,"",'water demand calculation'!E25))</f>
        <v/>
      </c>
      <c r="G25" s="216" t="str">
        <f t="shared" si="0"/>
        <v/>
      </c>
      <c r="V25"/>
    </row>
    <row r="26" spans="1:22" x14ac:dyDescent="0.2">
      <c r="A26" s="13" t="str">
        <f>inputdata!A32</f>
        <v>alfalfa*</v>
      </c>
      <c r="B26" s="14" t="str">
        <f>INDEX(Table1[[ ETc m3/ha/year]:[ ETc m3/ha/season2]],MATCH(inputdata!A32,Table1[[crops ]],0),MATCH(Variable!$B$3,inputdata!$B$11:$D$11,0))</f>
        <v>-</v>
      </c>
      <c r="C26" s="14" t="str">
        <f>IF(B26="-","",IF(Variable!B41=inputdata!$A$9,inputdata!E32*('water demand calculation'!$B26)/VLOOKUP(Variable!B41,inputdata!$A$7:$B$9,2,0),('water demand calculation'!$B26)/VLOOKUP(Variable!B41,inputdata!$A$7:$B$9,2,0)))</f>
        <v/>
      </c>
      <c r="D26" s="136" t="str">
        <f>IF(C26="","",Variable!B41)</f>
        <v/>
      </c>
      <c r="E26" s="136" t="str">
        <f>IF(OR(C26="",C26=0),"",IF(OR(Variable!B41=inputdata!$A$7,Variable!B41=inputdata!$A$8),('water demand calculation'!$D$3/(5*inputdata!I32-'water demand calculation'!$D$3)),('water demand calculation'!$D$3/(2*inputdata!G32))))</f>
        <v/>
      </c>
      <c r="F26" s="2" t="str">
        <f>IF(C26="","",IF(E26&gt;Variable!$B$6,"",'water demand calculation'!E26))</f>
        <v/>
      </c>
      <c r="G26" s="216" t="str">
        <f t="shared" si="0"/>
        <v/>
      </c>
      <c r="V26"/>
    </row>
    <row r="27" spans="1:22" ht="25.5" customHeight="1" x14ac:dyDescent="0.2">
      <c r="V27"/>
    </row>
    <row r="28" spans="1:22" x14ac:dyDescent="0.2">
      <c r="C28" s="4" t="s">
        <v>36</v>
      </c>
      <c r="D28">
        <f>'water demand calculation'!H3*10^6/J52</f>
        <v>4131.5652292043487</v>
      </c>
      <c r="F28" s="9" t="s">
        <v>146</v>
      </c>
      <c r="G28" s="9" t="s">
        <v>121</v>
      </c>
      <c r="H28" s="9" t="s">
        <v>122</v>
      </c>
      <c r="V28"/>
    </row>
    <row r="29" spans="1:22" x14ac:dyDescent="0.2">
      <c r="A29" s="491" t="str">
        <f>Table1[[#Headers],[crops ]]</f>
        <v xml:space="preserve">crops </v>
      </c>
      <c r="B29" s="489" t="s">
        <v>205</v>
      </c>
      <c r="E29" s="55" t="s">
        <v>126</v>
      </c>
      <c r="F29" s="72" t="s">
        <v>61</v>
      </c>
      <c r="G29" s="72"/>
      <c r="H29" s="72"/>
      <c r="I29" s="72" t="s">
        <v>162</v>
      </c>
      <c r="V29"/>
    </row>
    <row r="30" spans="1:22" x14ac:dyDescent="0.2">
      <c r="A30" s="492"/>
      <c r="B30" s="490"/>
      <c r="C30" t="str">
        <f>Variable!C21</f>
        <v xml:space="preserve">select Portion of Area %  </v>
      </c>
      <c r="D30" s="12" t="s">
        <v>148</v>
      </c>
      <c r="E30" s="55" t="s">
        <v>160</v>
      </c>
      <c r="F30" s="71" t="s">
        <v>157</v>
      </c>
      <c r="G30" s="71"/>
      <c r="H30" s="71"/>
      <c r="I30" s="71" t="s">
        <v>186</v>
      </c>
      <c r="V30"/>
    </row>
    <row r="31" spans="1:22" x14ac:dyDescent="0.2">
      <c r="A31" s="13" t="str">
        <f>inputdata!A13</f>
        <v xml:space="preserve">wheat </v>
      </c>
      <c r="B31" t="str">
        <f>IF(E31="","",Variable!B22)</f>
        <v xml:space="preserve">sprinkle </v>
      </c>
      <c r="C31" s="2">
        <f>IF(Variable!C22=0,"",Variable!C22)</f>
        <v>0.25</v>
      </c>
      <c r="D31" s="1">
        <f>IF(Variable!C22="","",Variable!C22*$D$28)</f>
        <v>1032.8913073010872</v>
      </c>
      <c r="E31" s="2">
        <f>IF(IF(OR(Variable!B22=inputdata!$A$7,Variable!B22=inputdata!$A$8),('water demand calculation'!$D$3/(5*inputdata!I13-'water demand calculation'!$D$3)),('water demand calculation'!$D$3/(2*inputdata!G13)))&gt;Variable!$B$6,"",IF(OR(Variable!B22=inputdata!$A$7,Variable!B22=inputdata!$A$8),('water demand calculation'!$D$3/(5*inputdata!I13-'water demand calculation'!$D$3)),('water demand calculation'!$D$3/(2*inputdata!G13))))</f>
        <v>0.15384615384615385</v>
      </c>
      <c r="F31" s="218" t="str">
        <f>IF(OR(inputdata!B13="-",C31="",E31=""),"",IF(IF(Variable!B22=inputdata!$A$9,inputdata!B13/VLOOKUP(Variable!B22,inputdata!$A$7:$B$9,2,0)*inputdata!$E13/(1-E31),inputdata!B13/VLOOKUP(Variable!B22,inputdata!$A$7:$B$9,2,0)/(1-E31))=0,"",IF(Variable!B22=inputdata!$A$9,inputdata!B13/VLOOKUP(Variable!B22,inputdata!$A$7:$B$9,2,0)*inputdata!$E13/(1-E31),inputdata!B13/VLOOKUP(Variable!B22,inputdata!$A$7:$B$9,2,0)/(1-E31))))</f>
        <v/>
      </c>
      <c r="G31" s="218">
        <f>IF(OR(inputdata!C13="-",C31="",$E31=""),"",IF(IF(Variable!$B22=inputdata!$A$9,inputdata!C13/VLOOKUP(Variable!$B22,inputdata!$A$7:$B$9,2,0)*inputdata!$E13/(1-E31),inputdata!C13/VLOOKUP(Variable!B22,inputdata!$A$7:$B$9,2,0)/(1-$E31))=0,"",IF(Variable!$B22=inputdata!$A$9,inputdata!C13/VLOOKUP(Variable!$B22,inputdata!$A$7:$B$9,2,0)*inputdata!$E13/(1-E31),inputdata!$C13/VLOOKUP(Variable!$B22,inputdata!$A$7:$B$9,2,0)/(1-$E31))))</f>
        <v>7784.2424242424249</v>
      </c>
      <c r="H31" s="218" t="str">
        <f>IF(OR(inputdata!D13="-",C31="",$E31=""),"",IF(IF(Variable!$B22=inputdata!$A$9,inputdata!D13/VLOOKUP(Variable!$B22,inputdata!$A$7:$B$9,2,0)*inputdata!$E13/(1-$E31),inputdata!D13/VLOOKUP(Variable!$B22,inputdata!$A$7:$B$9,2,0)/(1-$E31))=0,"",IF(Variable!$B22=inputdata!$A$9,inputdata!D13/VLOOKUP(Variable!$B22,inputdata!$A$7:$B$9,2,0)*inputdata!$E13/(1-$E31),inputdata!D13/VLOOKUP(Variable!$B22,inputdata!$A$7:$B$9,2,0)/(1-$E31))))</f>
        <v/>
      </c>
      <c r="I31" s="216">
        <f t="shared" ref="I31:I50" si="1">IF(OR(D31="",E31=""),"",IF(SUM(F31:H31)=0,"",SUM(F31:H31)*D31))</f>
        <v>8040276.3339243419</v>
      </c>
      <c r="J31" s="216">
        <f>IF(OR(C31="",E31=""),"",IF(SUM(F31:H31)=0,"",SUM(F31:H31)*C31))</f>
        <v>1946.0606060606062</v>
      </c>
      <c r="U31" s="1"/>
      <c r="V31"/>
    </row>
    <row r="32" spans="1:22" x14ac:dyDescent="0.2">
      <c r="A32" s="13" t="str">
        <f>inputdata!A14</f>
        <v>barley</v>
      </c>
      <c r="B32" t="str">
        <f>IF(E32="","",Variable!B26)</f>
        <v xml:space="preserve">drip </v>
      </c>
      <c r="C32" s="2">
        <f>IF(Variable!C23=0,"",Variable!C23)</f>
        <v>0.25</v>
      </c>
      <c r="D32" s="1">
        <f>IF(Variable!C23="","",Variable!C23*$D$28)</f>
        <v>1032.8913073010872</v>
      </c>
      <c r="E32" s="2">
        <f>IF(IF(OR(Variable!B23=inputdata!$A$7,Variable!B23=inputdata!$A$8),('water demand calculation'!$D$3/(5*inputdata!I14-'water demand calculation'!$D$3)),('water demand calculation'!$D$3/(2*inputdata!G14)))&gt;Variable!$B$6,"",IF(OR(Variable!B23=inputdata!$A$7,Variable!B23=inputdata!$A$8),('water demand calculation'!$D$3/(5*inputdata!I14-'water demand calculation'!$D$3)),('water demand calculation'!$D$3/(2*inputdata!G14))))</f>
        <v>0.1111111111111111</v>
      </c>
      <c r="F32" s="218" t="str">
        <f>IF(OR(inputdata!B14="-",C32="",E32=""),"",IF(IF(Variable!B23=inputdata!$A$9,inputdata!B14/VLOOKUP(Variable!B23,inputdata!$A$7:$B$9,2,0)*inputdata!$E14/(1-E32),inputdata!B14/VLOOKUP(Variable!B23,inputdata!$A$7:$B$9,2,0)/(1-E32))=0,"",IF(Variable!B23=inputdata!$A$9,inputdata!B14/VLOOKUP(Variable!B23,inputdata!$A$7:$B$9,2,0)*inputdata!$E14/(1-E32),inputdata!B14/VLOOKUP(Variable!B23,inputdata!$A$7:$B$9,2,0)/(1-E32))))</f>
        <v/>
      </c>
      <c r="G32" s="218">
        <f>IF(OR(inputdata!C14="-",C32="",$E32=""),"",IF(IF(Variable!$B23=inputdata!$A$9,inputdata!C14/VLOOKUP(Variable!$B23,inputdata!$A$7:$B$9,2,0)*inputdata!$E14/(1-E32),inputdata!C14/VLOOKUP(Variable!B23,inputdata!$A$7:$B$9,2,0)/(1-$E32))=0,"",IF(Variable!$B23=inputdata!$A$9,inputdata!C14/VLOOKUP(Variable!$B23,inputdata!$A$7:$B$9,2,0)*inputdata!$E14/(1-E32),inputdata!$C14/VLOOKUP(Variable!$B23,inputdata!$A$7:$B$9,2,0)/(1-$E32))))</f>
        <v>5415</v>
      </c>
      <c r="H32" s="218" t="str">
        <f>IF(OR(inputdata!D14="-",C32="",$E32=""),"",IF(IF(Variable!$B23=inputdata!$A$9,inputdata!D14/VLOOKUP(Variable!$B23,inputdata!$A$7:$B$9,2,0)*inputdata!$E14/(1-$E32),inputdata!D14/VLOOKUP(Variable!$B23,inputdata!$A$7:$B$9,2,0)/(1-$E32))=0,"",IF(Variable!$B23=inputdata!$A$9,inputdata!D14/VLOOKUP(Variable!$B23,inputdata!$A$7:$B$9,2,0)*inputdata!$E14/(1-$E32),inputdata!D14/VLOOKUP(Variable!$B23,inputdata!$A$7:$B$9,2,0)/(1-$E32))))</f>
        <v/>
      </c>
      <c r="I32" s="216">
        <f t="shared" si="1"/>
        <v>5593106.429035387</v>
      </c>
      <c r="J32" s="216">
        <f t="shared" ref="J32:J51" si="2">IF(OR(C32="",E32=""),"",IF(SUM(F32:H32)=0,"",SUM(F32:H32)*C32))</f>
        <v>1353.75</v>
      </c>
      <c r="U32" s="1"/>
      <c r="V32"/>
    </row>
    <row r="33" spans="1:22" x14ac:dyDescent="0.2">
      <c r="A33" s="13" t="str">
        <f>inputdata!A15</f>
        <v>peas*</v>
      </c>
      <c r="B33" t="str">
        <f>IF(E33="","",Variable!B24)</f>
        <v xml:space="preserve">drip </v>
      </c>
      <c r="C33" s="2" t="str">
        <f>IF(Variable!C24=0,"",Variable!C24)</f>
        <v/>
      </c>
      <c r="D33" s="1" t="str">
        <f>IF(Variable!C24="","",Variable!C24*$D$28)</f>
        <v/>
      </c>
      <c r="E33" s="2">
        <f>IF(IF(OR(Variable!B24=inputdata!$A$7,Variable!B24=inputdata!$A$8),('water demand calculation'!$D$3/(5*inputdata!I15-'water demand calculation'!$D$3)),('water demand calculation'!$D$3/(2*inputdata!G15)))&gt;Variable!$B$6,"",IF(OR(Variable!B24=inputdata!$A$7,Variable!B24=inputdata!$A$8),('water demand calculation'!$D$3/(5*inputdata!I15-'water demand calculation'!$D$3)),('water demand calculation'!$D$3/(2*inputdata!G15))))</f>
        <v>0.15384615384615385</v>
      </c>
      <c r="F33" s="218" t="str">
        <f>IF(OR(inputdata!B15="-",C33="",E33=""),"",IF(IF(Variable!B24=inputdata!$A$9,inputdata!B15/VLOOKUP(Variable!B24,inputdata!$A$7:$B$9,2,0)*inputdata!$E15/(1-E33),inputdata!B15/VLOOKUP(Variable!B24,inputdata!$A$7:$B$9,2,0)/(1-E33))=0,"",IF(Variable!B24=inputdata!$A$9,inputdata!B15/VLOOKUP(Variable!B24,inputdata!$A$7:$B$9,2,0)*inputdata!$E15/(1-E33),inputdata!B15/VLOOKUP(Variable!B24,inputdata!$A$7:$B$9,2,0)/(1-E33))))</f>
        <v/>
      </c>
      <c r="G33" s="218" t="str">
        <f>IF(OR(inputdata!C15="-",C33="",$E33=""),"",IF(IF(Variable!$B24=inputdata!$A$9,inputdata!C15/VLOOKUP(Variable!$B24,inputdata!$A$7:$B$9,2,0)*inputdata!$E15/(1-E33),inputdata!C15/VLOOKUP(Variable!B24,inputdata!$A$7:$B$9,2,0)/(1-$E33))=0,"",IF(Variable!$B24=inputdata!$A$9,inputdata!C15/VLOOKUP(Variable!$B24,inputdata!$A$7:$B$9,2,0)*inputdata!$E15/(1-E33),inputdata!$C15/VLOOKUP(Variable!$B24,inputdata!$A$7:$B$9,2,0)/(1-$E33))))</f>
        <v/>
      </c>
      <c r="H33" s="218" t="str">
        <f>IF(OR(inputdata!D15="-",C33="",$E33=""),"",IF(IF(Variable!$B24=inputdata!$A$9,inputdata!D15/VLOOKUP(Variable!$B24,inputdata!$A$7:$B$9,2,0)*inputdata!$E15/(1-$E33),inputdata!D15/VLOOKUP(Variable!$B24,inputdata!$A$7:$B$9,2,0)/(1-$E33))=0,"",IF(Variable!$B24=inputdata!$A$9,inputdata!D15/VLOOKUP(Variable!$B24,inputdata!$A$7:$B$9,2,0)*inputdata!$E15/(1-$E33),inputdata!D15/VLOOKUP(Variable!$B24,inputdata!$A$7:$B$9,2,0)/(1-$E33))))</f>
        <v/>
      </c>
      <c r="I33" s="216" t="str">
        <f t="shared" si="1"/>
        <v/>
      </c>
      <c r="J33" s="216" t="str">
        <f t="shared" si="2"/>
        <v/>
      </c>
      <c r="U33" s="1"/>
      <c r="V33"/>
    </row>
    <row r="34" spans="1:22" x14ac:dyDescent="0.2">
      <c r="A34" s="13" t="str">
        <f>inputdata!A16</f>
        <v>broad beans*</v>
      </c>
      <c r="B34" t="str">
        <f>IF(E34="","",Variable!B25)</f>
        <v xml:space="preserve">drip </v>
      </c>
      <c r="C34" s="2" t="str">
        <f>IF(Variable!C25=0,"",Variable!C25)</f>
        <v/>
      </c>
      <c r="D34" s="1" t="str">
        <f>IF(Variable!C25="","",Variable!C25*$D$28)</f>
        <v/>
      </c>
      <c r="E34" s="2">
        <f>IF(IF(OR(Variable!B25=inputdata!$A$7,Variable!B25=inputdata!$A$8),('water demand calculation'!$D$3/(5*inputdata!I16-'water demand calculation'!$D$3)),('water demand calculation'!$D$3/(2*inputdata!G16)))&gt;Variable!$B$6,"",IF(OR(Variable!B25=inputdata!$A$7,Variable!B25=inputdata!$A$8),('water demand calculation'!$D$3/(5*inputdata!I16-'water demand calculation'!$D$3)),('water demand calculation'!$D$3/(2*inputdata!G16))))</f>
        <v>0.16666666666666666</v>
      </c>
      <c r="F34" s="218" t="str">
        <f>IF(OR(inputdata!B16="-",C34="",E34=""),"",IF(IF(Variable!B25=inputdata!$A$9,inputdata!B16/VLOOKUP(Variable!B25,inputdata!$A$7:$B$9,2,0)*inputdata!$E16/(1-E34),inputdata!B16/VLOOKUP(Variable!B25,inputdata!$A$7:$B$9,2,0)/(1-E34))=0,"",IF(Variable!B25=inputdata!$A$9,inputdata!B16/VLOOKUP(Variable!B25,inputdata!$A$7:$B$9,2,0)*inputdata!$E16/(1-E34),inputdata!B16/VLOOKUP(Variable!B25,inputdata!$A$7:$B$9,2,0)/(1-E34))))</f>
        <v/>
      </c>
      <c r="G34" s="218" t="str">
        <f>IF(OR(inputdata!C16="-",C34="",$E34=""),"",IF(IF(Variable!$B25=inputdata!$A$9,inputdata!C16/VLOOKUP(Variable!$B25,inputdata!$A$7:$B$9,2,0)*inputdata!$E16/(1-E34),inputdata!C16/VLOOKUP(Variable!B25,inputdata!$A$7:$B$9,2,0)/(1-$E34))=0,"",IF(Variable!$B25=inputdata!$A$9,inputdata!C16/VLOOKUP(Variable!$B25,inputdata!$A$7:$B$9,2,0)*inputdata!$E16/(1-E34),inputdata!$C16/VLOOKUP(Variable!$B25,inputdata!$A$7:$B$9,2,0)/(1-$E34))))</f>
        <v/>
      </c>
      <c r="H34" s="218" t="str">
        <f>IF(OR(inputdata!D16="-",C34="",$E34=""),"",IF(IF(Variable!$B25=inputdata!$A$9,inputdata!D16/VLOOKUP(Variable!$B25,inputdata!$A$7:$B$9,2,0)*inputdata!$E16/(1-$E34),inputdata!D16/VLOOKUP(Variable!$B25,inputdata!$A$7:$B$9,2,0)/(1-$E34))=0,"",IF(Variable!$B25=inputdata!$A$9,inputdata!D16/VLOOKUP(Variable!$B25,inputdata!$A$7:$B$9,2,0)*inputdata!$E16/(1-$E34),inputdata!D16/VLOOKUP(Variable!$B25,inputdata!$A$7:$B$9,2,0)/(1-$E34))))</f>
        <v/>
      </c>
      <c r="I34" s="216" t="str">
        <f t="shared" si="1"/>
        <v/>
      </c>
      <c r="J34" s="216" t="str">
        <f t="shared" si="2"/>
        <v/>
      </c>
      <c r="U34" s="1"/>
      <c r="V34"/>
    </row>
    <row r="35" spans="1:22" ht="12.75" customHeight="1" x14ac:dyDescent="0.2">
      <c r="A35" s="13" t="str">
        <f>inputdata!A17</f>
        <v>oat</v>
      </c>
      <c r="B35" t="str">
        <f>IF(E35="","",Variable!B26)</f>
        <v xml:space="preserve">drip </v>
      </c>
      <c r="C35" s="2">
        <f>IF(Variable!C26=0,"",Variable!C26)</f>
        <v>0.3</v>
      </c>
      <c r="D35" s="1">
        <f>IF(Variable!C26="","",Variable!C26*$D$28)</f>
        <v>1239.4695687613046</v>
      </c>
      <c r="E35" s="2">
        <f>IF(IF(OR(Variable!B26=inputdata!$A$7,Variable!B26=inputdata!$A$8),('water demand calculation'!$D$3/(5*inputdata!I17-'water demand calculation'!$D$3)),('water demand calculation'!$D$3/(2*inputdata!G17)))&gt;Variable!$B$6,"",IF(OR(Variable!B26=inputdata!$A$7,Variable!B26=inputdata!$A$8),('water demand calculation'!$D$3/(5*inputdata!I17-'water demand calculation'!$D$3)),('water demand calculation'!$D$3/(2*inputdata!G17))))</f>
        <v>9.8039215686274522E-2</v>
      </c>
      <c r="F35" s="218" t="str">
        <f>IF(OR(inputdata!B17="-",C35="",E35=""),"",IF(IF(Variable!B26=inputdata!$A$9,inputdata!B17/VLOOKUP(Variable!B26,inputdata!$A$7:$B$9,2,0)*inputdata!$E17/(1-E35),inputdata!B17/VLOOKUP(Variable!B26,inputdata!$A$7:$B$9,2,0)/(1-E35))=0,"",IF(Variable!B26=inputdata!$A$9,inputdata!B17/VLOOKUP(Variable!B26,inputdata!$A$7:$B$9,2,0)*inputdata!$E17/(1-E35),inputdata!B17/VLOOKUP(Variable!B26,inputdata!$A$7:$B$9,2,0)/(1-E35))))</f>
        <v/>
      </c>
      <c r="G35" s="218">
        <f>IF(OR(inputdata!C17="-",C35="",$E35=""),"",IF(IF(Variable!$B26=inputdata!$A$9,inputdata!C17/VLOOKUP(Variable!$B26,inputdata!$A$7:$B$9,2,0)*inputdata!$E17/(1-E35),inputdata!C17/VLOOKUP(Variable!B26,inputdata!$A$7:$B$9,2,0)/(1-$E35))=0,"",IF(Variable!$B26=inputdata!$A$9,inputdata!C17/VLOOKUP(Variable!$B26,inputdata!$A$7:$B$9,2,0)*inputdata!$E17/(1-E35),inputdata!$C17/VLOOKUP(Variable!$B26,inputdata!$A$7:$B$9,2,0)/(1-$E35))))</f>
        <v>3744.927536231884</v>
      </c>
      <c r="H35" s="218" t="str">
        <f>IF(OR(inputdata!D17="-",C35="",$E35=""),"",IF(IF(Variable!$B26=inputdata!$A$9,inputdata!D17/VLOOKUP(Variable!$B26,inputdata!$A$7:$B$9,2,0)*inputdata!$E17/(1-$E35),inputdata!D17/VLOOKUP(Variable!$B26,inputdata!$A$7:$B$9,2,0)/(1-$E35))=0,"",IF(Variable!$B26=inputdata!$A$9,inputdata!D17/VLOOKUP(Variable!$B26,inputdata!$A$7:$B$9,2,0)*inputdata!$E17/(1-$E35),inputdata!D17/VLOOKUP(Variable!$B26,inputdata!$A$7:$B$9,2,0)/(1-$E35))))</f>
        <v/>
      </c>
      <c r="I35" s="216">
        <f t="shared" si="1"/>
        <v>4641723.7183756679</v>
      </c>
      <c r="J35" s="216">
        <f t="shared" si="2"/>
        <v>1123.4782608695652</v>
      </c>
      <c r="U35" s="1"/>
      <c r="V35"/>
    </row>
    <row r="36" spans="1:22" x14ac:dyDescent="0.2">
      <c r="A36" s="13" t="str">
        <f>inputdata!A18</f>
        <v>potato</v>
      </c>
      <c r="B36" t="str">
        <f>IF(E36="","",Variable!B27)</f>
        <v xml:space="preserve">drip </v>
      </c>
      <c r="C36" s="2">
        <f>IF(Variable!C27=0,"",Variable!C27)</f>
        <v>0.1</v>
      </c>
      <c r="D36" s="1">
        <f>IF(Variable!C27="","",Variable!C27*$D$28)</f>
        <v>413.1565229204349</v>
      </c>
      <c r="E36" s="2">
        <f>IF(IF(OR(Variable!B27=inputdata!$A$7,Variable!B27=inputdata!$A$8),('water demand calculation'!$D$3/(5*inputdata!I18-'water demand calculation'!$D$3)),('water demand calculation'!$D$3/(2*inputdata!G18)))&gt;Variable!$B$6,"",IF(OR(Variable!B27=inputdata!$A$7,Variable!B27=inputdata!$A$8),('water demand calculation'!$D$3/(5*inputdata!I18-'water demand calculation'!$D$3)),('water demand calculation'!$D$3/(2*inputdata!G18))))</f>
        <v>0.2</v>
      </c>
      <c r="F36" s="218" t="str">
        <f>IF(OR(inputdata!B18="-",C36="",E36=""),"",IF(IF(Variable!B27=inputdata!$A$9,inputdata!B18/VLOOKUP(Variable!B27,inputdata!$A$7:$B$9,2,0)*inputdata!$E18/(1-E36),inputdata!B18/VLOOKUP(Variable!B27,inputdata!$A$7:$B$9,2,0)/(1-E36))=0,"",IF(Variable!B27=inputdata!$A$9,inputdata!B18/VLOOKUP(Variable!B27,inputdata!$A$7:$B$9,2,0)*inputdata!$E18/(1-E36),inputdata!B18/VLOOKUP(Variable!B27,inputdata!$A$7:$B$9,2,0)/(1-E36))))</f>
        <v/>
      </c>
      <c r="G36" s="218">
        <f>IF(OR(inputdata!C18="-",C36="",$E36=""),"",IF(IF(Variable!$B27=inputdata!$A$9,inputdata!C18/VLOOKUP(Variable!$B27,inputdata!$A$7:$B$9,2,0)*inputdata!$E18/(1-E36),inputdata!C18/VLOOKUP(Variable!B27,inputdata!$A$7:$B$9,2,0)/(1-$E36))=0,"",IF(Variable!$B27=inputdata!$A$9,inputdata!C18/VLOOKUP(Variable!$B27,inputdata!$A$7:$B$9,2,0)*inputdata!$E18/(1-E36),inputdata!$C18/VLOOKUP(Variable!$B27,inputdata!$A$7:$B$9,2,0)/(1-$E36))))</f>
        <v>5444.4444444444443</v>
      </c>
      <c r="H36" s="218" t="str">
        <f>IF(OR(inputdata!D18="-",C36="",$E36=""),"",IF(IF(Variable!$B27=inputdata!$A$9,inputdata!D18/VLOOKUP(Variable!$B27,inputdata!$A$7:$B$9,2,0)*inputdata!$E18/(1-$E36),inputdata!D18/VLOOKUP(Variable!$B27,inputdata!$A$7:$B$9,2,0)/(1-$E36))=0,"",IF(Variable!$B27=inputdata!$A$9,inputdata!D18/VLOOKUP(Variable!$B27,inputdata!$A$7:$B$9,2,0)*inputdata!$E18/(1-$E36),inputdata!D18/VLOOKUP(Variable!$B27,inputdata!$A$7:$B$9,2,0)/(1-$E36))))</f>
        <v/>
      </c>
      <c r="I36" s="216">
        <f t="shared" si="1"/>
        <v>2249407.7359001455</v>
      </c>
      <c r="J36" s="216">
        <f t="shared" si="2"/>
        <v>544.44444444444446</v>
      </c>
      <c r="U36" s="1"/>
      <c r="V36"/>
    </row>
    <row r="37" spans="1:22" x14ac:dyDescent="0.2">
      <c r="A37" s="13" t="str">
        <f>inputdata!A19</f>
        <v>onion</v>
      </c>
      <c r="B37" t="str">
        <f>IF(E37="","",Variable!B28)</f>
        <v/>
      </c>
      <c r="C37" s="2" t="str">
        <f>IF(Variable!C28=0,"",Variable!C28)</f>
        <v/>
      </c>
      <c r="D37" s="1" t="str">
        <f>IF(Variable!C28="","",Variable!C28*$D$28)</f>
        <v/>
      </c>
      <c r="E37" s="2" t="str">
        <f>IF(IF(OR(Variable!B28=inputdata!$A$7,Variable!B28=inputdata!$A$8),('water demand calculation'!$D$3/(5*inputdata!I19-'water demand calculation'!$D$3)),('water demand calculation'!$D$3/(2*inputdata!G19)))&gt;Variable!$B$6,"",IF(OR(Variable!B28=inputdata!$A$7,Variable!B28=inputdata!$A$8),('water demand calculation'!$D$3/(5*inputdata!I19-'water demand calculation'!$D$3)),('water demand calculation'!$D$3/(2*inputdata!G19))))</f>
        <v/>
      </c>
      <c r="F37" s="218" t="str">
        <f>IF(OR(inputdata!B19="-",C37="",E37=""),"",IF(IF(Variable!B28=inputdata!$A$9,inputdata!B19/VLOOKUP(Variable!B28,inputdata!$A$7:$B$9,2,0)*inputdata!$E19/(1-E37),inputdata!B19/VLOOKUP(Variable!B28,inputdata!$A$7:$B$9,2,0)/(1-E37))=0,"",IF(Variable!B28=inputdata!$A$9,inputdata!B19/VLOOKUP(Variable!B28,inputdata!$A$7:$B$9,2,0)*inputdata!$E19/(1-E37),inputdata!B19/VLOOKUP(Variable!B28,inputdata!$A$7:$B$9,2,0)/(1-E37))))</f>
        <v/>
      </c>
      <c r="G37" s="218" t="str">
        <f>IF(OR(inputdata!C19="-",C37="",$E37=""),"",IF(IF(Variable!$B28=inputdata!$A$9,inputdata!C19/VLOOKUP(Variable!$B28,inputdata!$A$7:$B$9,2,0)*inputdata!$E19/(1-E37),inputdata!C19/VLOOKUP(Variable!B28,inputdata!$A$7:$B$9,2,0)/(1-$E37))=0,"",IF(Variable!$B28=inputdata!$A$9,inputdata!C19/VLOOKUP(Variable!$B28,inputdata!$A$7:$B$9,2,0)*inputdata!$E19/(1-E37),inputdata!$C19/VLOOKUP(Variable!$B28,inputdata!$A$7:$B$9,2,0)/(1-$E37))))</f>
        <v/>
      </c>
      <c r="H37" s="218" t="str">
        <f>IF(OR(inputdata!D19="-",C37="",$E37=""),"",IF(IF(Variable!$B28=inputdata!$A$9,inputdata!D19/VLOOKUP(Variable!$B28,inputdata!$A$7:$B$9,2,0)*inputdata!$E19/(1-$E37),inputdata!D19/VLOOKUP(Variable!$B28,inputdata!$A$7:$B$9,2,0)/(1-$E37))=0,"",IF(Variable!$B28=inputdata!$A$9,inputdata!D19/VLOOKUP(Variable!$B28,inputdata!$A$7:$B$9,2,0)*inputdata!$E19/(1-$E37),inputdata!D19/VLOOKUP(Variable!$B28,inputdata!$A$7:$B$9,2,0)/(1-$E37))))</f>
        <v/>
      </c>
      <c r="I37" s="216" t="str">
        <f t="shared" si="1"/>
        <v/>
      </c>
      <c r="J37" s="216" t="str">
        <f t="shared" si="2"/>
        <v/>
      </c>
      <c r="U37" s="1"/>
      <c r="V37"/>
    </row>
    <row r="38" spans="1:22" x14ac:dyDescent="0.2">
      <c r="A38" s="13" t="str">
        <f>inputdata!A20</f>
        <v>lettuce and Green-Leaf Crops</v>
      </c>
      <c r="B38" t="str">
        <f>IF(E38="","",Variable!B29)</f>
        <v xml:space="preserve">drip </v>
      </c>
      <c r="C38" s="2">
        <f>IF(Variable!C29=0,"",Variable!C29)</f>
        <v>0.05</v>
      </c>
      <c r="D38" s="1">
        <f>IF(Variable!C29="","",Variable!C29*$D$28)</f>
        <v>206.57826146021745</v>
      </c>
      <c r="E38" s="2">
        <f>IF(IF(OR(Variable!B29=inputdata!$A$7,Variable!B29=inputdata!$A$8),('water demand calculation'!$D$3/(5*inputdata!I20-'water demand calculation'!$D$3)),('water demand calculation'!$D$3/(2*inputdata!G20)))&gt;Variable!$B$6,"",IF(OR(Variable!B29=inputdata!$A$7,Variable!B29=inputdata!$A$8),('water demand calculation'!$D$3/(5*inputdata!I20-'water demand calculation'!$D$3)),('water demand calculation'!$D$3/(2*inputdata!G20))))</f>
        <v>0.22222222222222221</v>
      </c>
      <c r="F38" s="218" t="str">
        <f>IF(OR(inputdata!B20="-",C38="",E38=""),"",IF(IF(Variable!B29=inputdata!$A$9,inputdata!B20/VLOOKUP(Variable!B29,inputdata!$A$7:$B$9,2,0)*inputdata!$E20/(1-E38),inputdata!B20/VLOOKUP(Variable!B29,inputdata!$A$7:$B$9,2,0)/(1-E38))=0,"",IF(Variable!B29=inputdata!$A$9,inputdata!B20/VLOOKUP(Variable!B29,inputdata!$A$7:$B$9,2,0)*inputdata!$E20/(1-E38),inputdata!B20/VLOOKUP(Variable!B29,inputdata!$A$7:$B$9,2,0)/(1-E38))))</f>
        <v/>
      </c>
      <c r="G38" s="218">
        <f>IF(OR(inputdata!C20="-",C38="",$E38=""),"",IF(IF(Variable!$B29=inputdata!$A$9,inputdata!C20/VLOOKUP(Variable!$B29,inputdata!$A$7:$B$9,2,0)*inputdata!$E20/(1-E38),inputdata!C20/VLOOKUP(Variable!B29,inputdata!$A$7:$B$9,2,0)/(1-$E38))=0,"",IF(Variable!$B29=inputdata!$A$9,inputdata!C20/VLOOKUP(Variable!$B29,inputdata!$A$7:$B$9,2,0)*inputdata!$E20/(1-E38),inputdata!$C20/VLOOKUP(Variable!$B29,inputdata!$A$7:$B$9,2,0)/(1-$E38))))</f>
        <v>6457.142857142856</v>
      </c>
      <c r="H38" s="218">
        <f>IF(OR(inputdata!D20="-",C38="",$E38=""),"",IF(IF(Variable!$B29=inputdata!$A$9,inputdata!D20/VLOOKUP(Variable!$B29,inputdata!$A$7:$B$9,2,0)*inputdata!$E20/(1-$E38),inputdata!D20/VLOOKUP(Variable!$B29,inputdata!$A$7:$B$9,2,0)/(1-$E38))=0,"",IF(Variable!$B29=inputdata!$A$9,inputdata!D20/VLOOKUP(Variable!$B29,inputdata!$A$7:$B$9,2,0)*inputdata!$E20/(1-$E38),inputdata!D20/VLOOKUP(Variable!$B29,inputdata!$A$7:$B$9,2,0)/(1-$E38))))</f>
        <v>4371.4285714285716</v>
      </c>
      <c r="I38" s="216">
        <f t="shared" si="1"/>
        <v>2236947.4598120688</v>
      </c>
      <c r="J38" s="216">
        <f t="shared" si="2"/>
        <v>541.42857142857144</v>
      </c>
      <c r="U38" s="1"/>
      <c r="V38"/>
    </row>
    <row r="39" spans="1:22" x14ac:dyDescent="0.2">
      <c r="A39" s="13" t="str">
        <f>inputdata!A21</f>
        <v xml:space="preserve">carrot </v>
      </c>
      <c r="B39" t="str">
        <f>IF(E39="","",Variable!B30)</f>
        <v xml:space="preserve">drip </v>
      </c>
      <c r="C39" s="2">
        <f>IF(Variable!C30=0,"",Variable!C30)</f>
        <v>2.5000000000000001E-2</v>
      </c>
      <c r="D39" s="1">
        <f>IF(Variable!C30="","",Variable!C30*$D$28)</f>
        <v>103.28913073010872</v>
      </c>
      <c r="E39" s="2">
        <f>IF(IF(OR(Variable!B30=inputdata!$A$7,Variable!B30=inputdata!$A$8),('water demand calculation'!$D$3/(5*inputdata!I21-'water demand calculation'!$D$3)),('water demand calculation'!$D$3/(2*inputdata!G21)))&gt;Variable!$B$6,"",IF(OR(Variable!B30=inputdata!$A$7,Variable!B30=inputdata!$A$8),('water demand calculation'!$D$3/(5*inputdata!I21-'water demand calculation'!$D$3)),('water demand calculation'!$D$3/(2*inputdata!G21))))</f>
        <v>0.24691358024691359</v>
      </c>
      <c r="F39" s="218" t="str">
        <f>IF(OR(inputdata!B21="-",C39="",E39=""),"",IF(IF(Variable!B30=inputdata!$A$9,inputdata!B21/VLOOKUP(Variable!B30,inputdata!$A$7:$B$9,2,0)*inputdata!$E21/(1-E39),inputdata!B21/VLOOKUP(Variable!B30,inputdata!$A$7:$B$9,2,0)/(1-E39))=0,"",IF(Variable!B30=inputdata!$A$9,inputdata!B21/VLOOKUP(Variable!B30,inputdata!$A$7:$B$9,2,0)*inputdata!$E21/(1-E39),inputdata!B21/VLOOKUP(Variable!B30,inputdata!$A$7:$B$9,2,0)/(1-E39))))</f>
        <v/>
      </c>
      <c r="G39" s="218">
        <f>IF(OR(inputdata!C21="-",C39="",$E39=""),"",IF(IF(Variable!$B30=inputdata!$A$9,inputdata!C21/VLOOKUP(Variable!$B30,inputdata!$A$7:$B$9,2,0)*inputdata!$E21/(1-E39),inputdata!C21/VLOOKUP(Variable!B30,inputdata!$A$7:$B$9,2,0)/(1-$E39))=0,"",IF(Variable!$B30=inputdata!$A$9,inputdata!C21/VLOOKUP(Variable!$B30,inputdata!$A$7:$B$9,2,0)*inputdata!$E21/(1-E39),inputdata!$C21/VLOOKUP(Variable!$B30,inputdata!$A$7:$B$9,2,0)/(1-$E39))))</f>
        <v>2803.2786885245896</v>
      </c>
      <c r="H39" s="218">
        <f>IF(OR(inputdata!D21="-",C39="",$E39=""),"",IF(IF(Variable!$B30=inputdata!$A$9,inputdata!D21/VLOOKUP(Variable!$B30,inputdata!$A$7:$B$9,2,0)*inputdata!$E21/(1-$E39),inputdata!D21/VLOOKUP(Variable!$B30,inputdata!$A$7:$B$9,2,0)/(1-$E39))=0,"",IF(Variable!$B30=inputdata!$A$9,inputdata!D21/VLOOKUP(Variable!$B30,inputdata!$A$7:$B$9,2,0)*inputdata!$E21/(1-$E39),inputdata!D21/VLOOKUP(Variable!$B30,inputdata!$A$7:$B$9,2,0)/(1-$E39))))</f>
        <v>5695.0819672131147</v>
      </c>
      <c r="I39" s="216">
        <f t="shared" si="1"/>
        <v>877788.28476210427</v>
      </c>
      <c r="J39" s="216">
        <f t="shared" si="2"/>
        <v>212.45901639344262</v>
      </c>
      <c r="U39" s="1"/>
      <c r="V39"/>
    </row>
    <row r="40" spans="1:22" x14ac:dyDescent="0.2">
      <c r="A40" s="13" t="str">
        <f>inputdata!A22</f>
        <v xml:space="preserve">Radish </v>
      </c>
      <c r="B40" t="str">
        <f>IF(E40="","",Variable!B31)</f>
        <v xml:space="preserve">drip </v>
      </c>
      <c r="C40" s="2">
        <f>IF(Variable!C31=0,"",Variable!C31)</f>
        <v>2.5000000000000001E-2</v>
      </c>
      <c r="D40" s="1">
        <f>IF(Variable!C31="","",Variable!C31*$D$28)</f>
        <v>103.28913073010872</v>
      </c>
      <c r="E40" s="2">
        <f>IF(IF(OR(Variable!B31=inputdata!$A$7,Variable!B31=inputdata!$A$8),('water demand calculation'!$D$3/(5*inputdata!I22-'water demand calculation'!$D$3)),('water demand calculation'!$D$3/(2*inputdata!G22)))&gt;Variable!$B$6,"",IF(OR(Variable!B31=inputdata!$A$7,Variable!B31=inputdata!$A$8),('water demand calculation'!$D$3/(5*inputdata!I22-'water demand calculation'!$D$3)),('water demand calculation'!$D$3/(2*inputdata!G22))))</f>
        <v>0.2247191011235955</v>
      </c>
      <c r="F40" s="218" t="str">
        <f>IF(OR(inputdata!B22="-",C40="",E40=""),"",IF(IF(Variable!B31=inputdata!$A$9,inputdata!B22/VLOOKUP(Variable!B31,inputdata!$A$7:$B$9,2,0)*inputdata!$E22/(1-E40),inputdata!B22/VLOOKUP(Variable!B31,inputdata!$A$7:$B$9,2,0)/(1-E40))=0,"",IF(Variable!B31=inputdata!$A$9,inputdata!B22/VLOOKUP(Variable!B31,inputdata!$A$7:$B$9,2,0)*inputdata!$E22/(1-E40),inputdata!B22/VLOOKUP(Variable!B31,inputdata!$A$7:$B$9,2,0)/(1-E40))))</f>
        <v/>
      </c>
      <c r="G40" s="218">
        <f>IF(OR(inputdata!C22="-",C40="",$E40=""),"",IF(IF(Variable!$B31=inputdata!$A$9,inputdata!C22/VLOOKUP(Variable!$B31,inputdata!$A$7:$B$9,2,0)*inputdata!$E22/(1-E40),inputdata!C22/VLOOKUP(Variable!B31,inputdata!$A$7:$B$9,2,0)/(1-$E40))=0,"",IF(Variable!$B31=inputdata!$A$9,inputdata!C22/VLOOKUP(Variable!$B31,inputdata!$A$7:$B$9,2,0)*inputdata!$E22/(1-E40),inputdata!$C22/VLOOKUP(Variable!$B31,inputdata!$A$7:$B$9,2,0)/(1-$E40))))</f>
        <v>1332.8502415458936</v>
      </c>
      <c r="H40" s="218">
        <f>IF(OR(inputdata!D22="-",C40="",$E40=""),"",IF(IF(Variable!$B31=inputdata!$A$9,inputdata!D22/VLOOKUP(Variable!$B31,inputdata!$A$7:$B$9,2,0)*inputdata!$E22/(1-$E40),inputdata!D22/VLOOKUP(Variable!$B31,inputdata!$A$7:$B$9,2,0)/(1-$E40))=0,"",IF(Variable!$B31=inputdata!$A$9,inputdata!D22/VLOOKUP(Variable!$B31,inputdata!$A$7:$B$9,2,0)*inputdata!$E22/(1-$E40),inputdata!D22/VLOOKUP(Variable!$B31,inputdata!$A$7:$B$9,2,0)/(1-$E40))))</f>
        <v>1748.4702093397743</v>
      </c>
      <c r="I40" s="216">
        <f t="shared" si="1"/>
        <v>318266.9108728873</v>
      </c>
      <c r="J40" s="216">
        <f t="shared" si="2"/>
        <v>77.033011272141707</v>
      </c>
      <c r="U40" s="1"/>
      <c r="V40"/>
    </row>
    <row r="41" spans="1:22" x14ac:dyDescent="0.2">
      <c r="A41" s="13" t="str">
        <f>inputdata!A23</f>
        <v>Millets</v>
      </c>
      <c r="B41" t="str">
        <f>IF(E41="","",Variable!B32)</f>
        <v xml:space="preserve">sprinkle </v>
      </c>
      <c r="C41" s="2" t="str">
        <f>IF(Variable!C32=0,"",Variable!C32)</f>
        <v/>
      </c>
      <c r="D41" s="1" t="str">
        <f>IF(Variable!C32="","",Variable!C32*$D$28)</f>
        <v/>
      </c>
      <c r="E41" s="2">
        <f>IF(IF(OR(Variable!B32=inputdata!$A$7,Variable!B32=inputdata!$A$8),('water demand calculation'!$D$3/(5*inputdata!I23-'water demand calculation'!$D$3)),('water demand calculation'!$D$3/(2*inputdata!G23)))&gt;Variable!$B$6,"",IF(OR(Variable!B32=inputdata!$A$7,Variable!B32=inputdata!$A$8),('water demand calculation'!$D$3/(5*inputdata!I23-'water demand calculation'!$D$3)),('water demand calculation'!$D$3/(2*inputdata!G23))))</f>
        <v>0.15384615384615385</v>
      </c>
      <c r="F41" s="218" t="str">
        <f>IF(OR(inputdata!B23="-",C41="",E41=""),"",IF(IF(Variable!B32=inputdata!$A$9,inputdata!B23/VLOOKUP(Variable!B32,inputdata!$A$7:$B$9,2,0)*inputdata!$E23/(1-E41),inputdata!B23/VLOOKUP(Variable!B32,inputdata!$A$7:$B$9,2,0)/(1-E41))=0,"",IF(Variable!B32=inputdata!$A$9,inputdata!B23/VLOOKUP(Variable!B32,inputdata!$A$7:$B$9,2,0)*inputdata!$E23/(1-E41),inputdata!B23/VLOOKUP(Variable!B32,inputdata!$A$7:$B$9,2,0)/(1-E41))))</f>
        <v/>
      </c>
      <c r="G41" s="218" t="str">
        <f>IF(OR(inputdata!C23="-",C41="",$E41=""),"",IF(IF(Variable!$B32=inputdata!$A$9,inputdata!C23/VLOOKUP(Variable!$B32,inputdata!$A$7:$B$9,2,0)*inputdata!$E23/(1-E41),inputdata!C23/VLOOKUP(Variable!B32,inputdata!$A$7:$B$9,2,0)/(1-$E41))=0,"",IF(Variable!$B32=inputdata!$A$9,inputdata!C23/VLOOKUP(Variable!$B32,inputdata!$A$7:$B$9,2,0)*inputdata!$E23/(1-E41),inputdata!$C23/VLOOKUP(Variable!$B32,inputdata!$A$7:$B$9,2,0)/(1-$E41))))</f>
        <v/>
      </c>
      <c r="H41" s="218" t="str">
        <f>IF(OR(inputdata!D23="-",C41="",$E41=""),"",IF(IF(Variable!$B32=inputdata!$A$9,inputdata!D23/VLOOKUP(Variable!$B32,inputdata!$A$7:$B$9,2,0)*inputdata!$E23/(1-$E41),inputdata!D23/VLOOKUP(Variable!$B32,inputdata!$A$7:$B$9,2,0)/(1-$E41))=0,"",IF(Variable!$B32=inputdata!$A$9,inputdata!D23/VLOOKUP(Variable!$B32,inputdata!$A$7:$B$9,2,0)*inputdata!$E23/(1-$E41),inputdata!D23/VLOOKUP(Variable!$B32,inputdata!$A$7:$B$9,2,0)/(1-$E41))))</f>
        <v/>
      </c>
      <c r="I41" s="216" t="str">
        <f t="shared" si="1"/>
        <v/>
      </c>
      <c r="J41" s="216" t="str">
        <f t="shared" si="2"/>
        <v/>
      </c>
      <c r="U41" s="1"/>
      <c r="V41"/>
    </row>
    <row r="42" spans="1:22" x14ac:dyDescent="0.2">
      <c r="A42" s="13" t="str">
        <f>inputdata!A24</f>
        <v>tomato</v>
      </c>
      <c r="B42" t="str">
        <f>IF(E42="","",Variable!B33)</f>
        <v xml:space="preserve">drip </v>
      </c>
      <c r="C42" s="2">
        <f>IF(Variable!C33=0,"",Variable!C33)</f>
        <v>0.2</v>
      </c>
      <c r="D42" s="1">
        <f>IF(Variable!C33="","",Variable!C33*$D$28)</f>
        <v>826.31304584086979</v>
      </c>
      <c r="E42" s="2">
        <f>IF(IF(OR(Variable!B33=inputdata!$A$7,Variable!B33=inputdata!$A$8),('water demand calculation'!$D$3/(5*inputdata!I24-'water demand calculation'!$D$3)),('water demand calculation'!$D$3/(2*inputdata!G24)))&gt;Variable!$B$6,"",IF(OR(Variable!B33=inputdata!$A$7,Variable!B33=inputdata!$A$8),('water demand calculation'!$D$3/(5*inputdata!I24-'water demand calculation'!$D$3)),('water demand calculation'!$D$3/(2*inputdata!G24))))</f>
        <v>0.15384615384615385</v>
      </c>
      <c r="F42" s="218" t="str">
        <f>IF(OR(inputdata!B24="-",C42="",E42=""),"",IF(IF(Variable!B33=inputdata!$A$9,inputdata!B24/VLOOKUP(Variable!B33,inputdata!$A$7:$B$9,2,0)*inputdata!$E24/(1-E42),inputdata!B24/VLOOKUP(Variable!B33,inputdata!$A$7:$B$9,2,0)/(1-E42))=0,"",IF(Variable!B33=inputdata!$A$9,inputdata!B24/VLOOKUP(Variable!B33,inputdata!$A$7:$B$9,2,0)*inputdata!$E24/(1-E42),inputdata!B24/VLOOKUP(Variable!B33,inputdata!$A$7:$B$9,2,0)/(1-E42))))</f>
        <v/>
      </c>
      <c r="G42" s="218" t="str">
        <f>IF(OR(inputdata!C24="-",C42="",$E42=""),"",IF(IF(Variable!$B33=inputdata!$A$9,inputdata!C24/VLOOKUP(Variable!$B33,inputdata!$A$7:$B$9,2,0)*inputdata!$E24/(1-E42),inputdata!C24/VLOOKUP(Variable!B33,inputdata!$A$7:$B$9,2,0)/(1-$E42))=0,"",IF(Variable!$B33=inputdata!$A$9,inputdata!C24/VLOOKUP(Variable!$B33,inputdata!$A$7:$B$9,2,0)*inputdata!$E24/(1-E42),inputdata!$C24/VLOOKUP(Variable!$B33,inputdata!$A$7:$B$9,2,0)/(1-$E42))))</f>
        <v/>
      </c>
      <c r="H42" s="218">
        <f>IF(OR(inputdata!D24="-",C42="",$E42=""),"",IF(IF(Variable!$B33=inputdata!$A$9,inputdata!D24/VLOOKUP(Variable!$B33,inputdata!$A$7:$B$9,2,0)*inputdata!$E24/(1-$E42),inputdata!D24/VLOOKUP(Variable!$B33,inputdata!$A$7:$B$9,2,0)/(1-$E42))=0,"",IF(Variable!$B33=inputdata!$A$9,inputdata!D24/VLOOKUP(Variable!$B33,inputdata!$A$7:$B$9,2,0)*inputdata!$E24/(1-$E42),inputdata!D24/VLOOKUP(Variable!$B33,inputdata!$A$7:$B$9,2,0)/(1-$E42))))</f>
        <v>7603.030303030303</v>
      </c>
      <c r="I42" s="216">
        <f t="shared" si="1"/>
        <v>6282483.1273174006</v>
      </c>
      <c r="J42" s="216">
        <f t="shared" si="2"/>
        <v>1520.6060606060607</v>
      </c>
      <c r="U42" s="1"/>
      <c r="V42"/>
    </row>
    <row r="43" spans="1:22" x14ac:dyDescent="0.2">
      <c r="A43" s="13" t="str">
        <f>inputdata!A25</f>
        <v>water melon</v>
      </c>
      <c r="B43" t="str">
        <f>IF(E43="","",Variable!B34)</f>
        <v/>
      </c>
      <c r="C43" s="2" t="str">
        <f>IF(Variable!C34=0,"",Variable!C34)</f>
        <v/>
      </c>
      <c r="D43" s="1" t="str">
        <f>IF(Variable!C34="","",Variable!C34*$D$28)</f>
        <v/>
      </c>
      <c r="E43" s="2" t="str">
        <f>IF(IF(OR(Variable!B34=inputdata!$A$7,Variable!B34=inputdata!$A$8),('water demand calculation'!$D$3/(5*inputdata!I25-'water demand calculation'!$D$3)),('water demand calculation'!$D$3/(2*inputdata!G25)))&gt;Variable!$B$6,"",IF(OR(Variable!B34=inputdata!$A$7,Variable!B34=inputdata!$A$8),('water demand calculation'!$D$3/(5*inputdata!I25-'water demand calculation'!$D$3)),('water demand calculation'!$D$3/(2*inputdata!G25))))</f>
        <v/>
      </c>
      <c r="F43" s="218" t="str">
        <f>IF(OR(inputdata!B25="-",C43="",E43=""),"",IF(IF(Variable!B34=inputdata!$A$9,inputdata!B25/VLOOKUP(Variable!B34,inputdata!$A$7:$B$9,2,0)*inputdata!$E25/(1-E43),inputdata!B25/VLOOKUP(Variable!B34,inputdata!$A$7:$B$9,2,0)/(1-E43))=0,"",IF(Variable!B34=inputdata!$A$9,inputdata!B25/VLOOKUP(Variable!B34,inputdata!$A$7:$B$9,2,0)*inputdata!$E25/(1-E43),inputdata!B25/VLOOKUP(Variable!B34,inputdata!$A$7:$B$9,2,0)/(1-E43))))</f>
        <v/>
      </c>
      <c r="G43" s="218" t="str">
        <f>IF(OR(inputdata!C25="-",C43="",$E43=""),"",IF(IF(Variable!$B34=inputdata!$A$9,inputdata!C25/VLOOKUP(Variable!$B34,inputdata!$A$7:$B$9,2,0)*inputdata!$E25/(1-E43),inputdata!C25/VLOOKUP(Variable!B34,inputdata!$A$7:$B$9,2,0)/(1-$E43))=0,"",IF(Variable!$B34=inputdata!$A$9,inputdata!C25/VLOOKUP(Variable!$B34,inputdata!$A$7:$B$9,2,0)*inputdata!$E25/(1-E43),inputdata!$C25/VLOOKUP(Variable!$B34,inputdata!$A$7:$B$9,2,0)/(1-$E43))))</f>
        <v/>
      </c>
      <c r="H43" s="218" t="str">
        <f>IF(OR(inputdata!D25="-",C43="",$E43=""),"",IF(IF(Variable!$B34=inputdata!$A$9,inputdata!D25/VLOOKUP(Variable!$B34,inputdata!$A$7:$B$9,2,0)*inputdata!$E25/(1-$E43),inputdata!D25/VLOOKUP(Variable!$B34,inputdata!$A$7:$B$9,2,0)/(1-$E43))=0,"",IF(Variable!$B34=inputdata!$A$9,inputdata!D25/VLOOKUP(Variable!$B34,inputdata!$A$7:$B$9,2,0)*inputdata!$E25/(1-$E43),inputdata!D25/VLOOKUP(Variable!$B34,inputdata!$A$7:$B$9,2,0)/(1-$E43))))</f>
        <v/>
      </c>
      <c r="I43" s="216" t="str">
        <f t="shared" si="1"/>
        <v/>
      </c>
      <c r="J43" s="216" t="str">
        <f t="shared" si="2"/>
        <v/>
      </c>
      <c r="U43" s="1"/>
      <c r="V43"/>
    </row>
    <row r="44" spans="1:22" x14ac:dyDescent="0.2">
      <c r="A44" s="13" t="str">
        <f>inputdata!A26</f>
        <v>cucumber</v>
      </c>
      <c r="B44" t="str">
        <f>IF(E44="","",Variable!B35)</f>
        <v xml:space="preserve">drip </v>
      </c>
      <c r="C44" s="2" t="str">
        <f>IF(Variable!C35=0,"",Variable!C35)</f>
        <v/>
      </c>
      <c r="D44" s="1" t="str">
        <f>IF(Variable!C35="","",Variable!C35*$D$28)</f>
        <v/>
      </c>
      <c r="E44" s="2">
        <f>IF(IF(OR(Variable!B35=inputdata!$A$7,Variable!B35=inputdata!$A$8),('water demand calculation'!$D$3/(5*inputdata!I26-'water demand calculation'!$D$3)),('water demand calculation'!$D$3/(2*inputdata!G26)))&gt;Variable!$B$6,"",IF(OR(Variable!B35=inputdata!$A$7,Variable!B35=inputdata!$A$8),('water demand calculation'!$D$3/(5*inputdata!I26-'water demand calculation'!$D$3)),('water demand calculation'!$D$3/(2*inputdata!G26))))</f>
        <v>0.2</v>
      </c>
      <c r="F44" s="218" t="str">
        <f>IF(OR(inputdata!B26="-",C44="",E44=""),"",IF(IF(Variable!B35=inputdata!$A$9,inputdata!B26/VLOOKUP(Variable!B35,inputdata!$A$7:$B$9,2,0)*inputdata!$E26/(1-E44),inputdata!B26/VLOOKUP(Variable!B35,inputdata!$A$7:$B$9,2,0)/(1-E44))=0,"",IF(Variable!B35=inputdata!$A$9,inputdata!B26/VLOOKUP(Variable!B35,inputdata!$A$7:$B$9,2,0)*inputdata!$E26/(1-E44),inputdata!B26/VLOOKUP(Variable!B35,inputdata!$A$7:$B$9,2,0)/(1-E44))))</f>
        <v/>
      </c>
      <c r="G44" s="218" t="str">
        <f>IF(OR(inputdata!C26="-",C44="",$E44=""),"",IF(IF(Variable!$B35=inputdata!$A$9,inputdata!C26/VLOOKUP(Variable!$B35,inputdata!$A$7:$B$9,2,0)*inputdata!$E26/(1-E44),inputdata!C26/VLOOKUP(Variable!B35,inputdata!$A$7:$B$9,2,0)/(1-$E44))=0,"",IF(Variable!$B35=inputdata!$A$9,inputdata!C26/VLOOKUP(Variable!$B35,inputdata!$A$7:$B$9,2,0)*inputdata!$E26/(1-E44),inputdata!$C26/VLOOKUP(Variable!$B35,inputdata!$A$7:$B$9,2,0)/(1-$E44))))</f>
        <v/>
      </c>
      <c r="H44" s="218" t="str">
        <f>IF(OR(inputdata!D26="-",C44="",$E44=""),"",IF(IF(Variable!$B35=inputdata!$A$9,inputdata!D26/VLOOKUP(Variable!$B35,inputdata!$A$7:$B$9,2,0)*inputdata!$E26/(1-$E44),inputdata!D26/VLOOKUP(Variable!$B35,inputdata!$A$7:$B$9,2,0)/(1-$E44))=0,"",IF(Variable!$B35=inputdata!$A$9,inputdata!D26/VLOOKUP(Variable!$B35,inputdata!$A$7:$B$9,2,0)*inputdata!$E26/(1-$E44),inputdata!D26/VLOOKUP(Variable!$B35,inputdata!$A$7:$B$9,2,0)/(1-$E44))))</f>
        <v/>
      </c>
      <c r="I44" s="216" t="str">
        <f t="shared" si="1"/>
        <v/>
      </c>
      <c r="J44" s="216" t="str">
        <f t="shared" si="2"/>
        <v/>
      </c>
      <c r="U44" s="1"/>
      <c r="V44"/>
    </row>
    <row r="45" spans="1:22" x14ac:dyDescent="0.2">
      <c r="A45" s="13" t="str">
        <f>inputdata!A27</f>
        <v>eggplant</v>
      </c>
      <c r="B45" t="str">
        <f>IF(E45="","",Variable!B36)</f>
        <v xml:space="preserve">drip </v>
      </c>
      <c r="C45" s="2" t="str">
        <f>IF(Variable!C36=0,"",Variable!C36)</f>
        <v/>
      </c>
      <c r="D45" s="1" t="str">
        <f>IF(Variable!C36="","",Variable!C36*$D$28)</f>
        <v/>
      </c>
      <c r="E45" s="2">
        <f>IF(IF(OR(Variable!B36=inputdata!$A$7,Variable!B36=inputdata!$A$8),('water demand calculation'!$D$3/(5*inputdata!I27-'water demand calculation'!$D$3)),('water demand calculation'!$D$3/(2*inputdata!G27)))&gt;Variable!$B$6,"",IF(OR(Variable!B36=inputdata!$A$7,Variable!B36=inputdata!$A$8),('water demand calculation'!$D$3/(5*inputdata!I27-'water demand calculation'!$D$3)),('water demand calculation'!$D$3/(2*inputdata!G27))))</f>
        <v>0.12903225806451613</v>
      </c>
      <c r="F45" s="218" t="str">
        <f>IF(OR(inputdata!B27="-",C45="",E45=""),"",IF(IF(Variable!B36=inputdata!$A$9,inputdata!B27/VLOOKUP(Variable!B36,inputdata!$A$7:$B$9,2,0)*inputdata!$E27/(1-E45),inputdata!B27/VLOOKUP(Variable!B36,inputdata!$A$7:$B$9,2,0)/(1-E45))=0,"",IF(Variable!B36=inputdata!$A$9,inputdata!B27/VLOOKUP(Variable!B36,inputdata!$A$7:$B$9,2,0)*inputdata!$E27/(1-E45),inputdata!B27/VLOOKUP(Variable!B36,inputdata!$A$7:$B$9,2,0)/(1-E45))))</f>
        <v/>
      </c>
      <c r="G45" s="218" t="str">
        <f>IF(OR(inputdata!C27="-",C45="",$E45=""),"",IF(IF(Variable!$B36=inputdata!$A$9,inputdata!C27/VLOOKUP(Variable!$B36,inputdata!$A$7:$B$9,2,0)*inputdata!$E27/(1-E45),inputdata!C27/VLOOKUP(Variable!B36,inputdata!$A$7:$B$9,2,0)/(1-$E45))=0,"",IF(Variable!$B36=inputdata!$A$9,inputdata!C27/VLOOKUP(Variable!$B36,inputdata!$A$7:$B$9,2,0)*inputdata!$E27/(1-E45),inputdata!$C27/VLOOKUP(Variable!$B36,inputdata!$A$7:$B$9,2,0)/(1-$E45))))</f>
        <v/>
      </c>
      <c r="H45" s="218" t="str">
        <f>IF(OR(inputdata!D27="-",C45="",$E45=""),"",IF(IF(Variable!$B36=inputdata!$A$9,inputdata!D27/VLOOKUP(Variable!$B36,inputdata!$A$7:$B$9,2,0)*inputdata!$E27/(1-$E45),inputdata!D27/VLOOKUP(Variable!$B36,inputdata!$A$7:$B$9,2,0)/(1-$E45))=0,"",IF(Variable!$B36=inputdata!$A$9,inputdata!D27/VLOOKUP(Variable!$B36,inputdata!$A$7:$B$9,2,0)*inputdata!$E27/(1-$E45),inputdata!D27/VLOOKUP(Variable!$B36,inputdata!$A$7:$B$9,2,0)/(1-$E45))))</f>
        <v/>
      </c>
      <c r="I45" s="216" t="str">
        <f t="shared" si="1"/>
        <v/>
      </c>
      <c r="J45" s="216" t="str">
        <f t="shared" si="2"/>
        <v/>
      </c>
      <c r="U45" s="1"/>
      <c r="V45"/>
    </row>
    <row r="46" spans="1:22" x14ac:dyDescent="0.2">
      <c r="A46" s="13" t="str">
        <f>inputdata!A28</f>
        <v>pepper</v>
      </c>
      <c r="B46" t="str">
        <f>IF(E46="","",Variable!B37)</f>
        <v xml:space="preserve">drip </v>
      </c>
      <c r="C46" s="2" t="str">
        <f>IF(Variable!C37=0,"",Variable!C37)</f>
        <v/>
      </c>
      <c r="D46" s="1" t="str">
        <f>IF(Variable!C37="","",Variable!C37*$D$28)</f>
        <v/>
      </c>
      <c r="E46" s="2">
        <f>IF(IF(OR(Variable!B37=inputdata!$A$7,Variable!B37=inputdata!$A$8),('water demand calculation'!$D$3/(5*inputdata!I28-'water demand calculation'!$D$3)),('water demand calculation'!$D$3/(2*inputdata!G28)))&gt;Variable!$B$6,"",IF(OR(Variable!B37=inputdata!$A$7,Variable!B37=inputdata!$A$8),('water demand calculation'!$D$3/(5*inputdata!I28-'water demand calculation'!$D$3)),('water demand calculation'!$D$3/(2*inputdata!G28))))</f>
        <v>0.23255813953488372</v>
      </c>
      <c r="F46" s="218" t="str">
        <f>IF(OR(inputdata!B28="-",C46="",E46=""),"",IF(IF(Variable!B37=inputdata!$A$9,inputdata!B28/VLOOKUP(Variable!B37,inputdata!$A$7:$B$9,2,0)*inputdata!$E28/(1-E46),inputdata!B28/VLOOKUP(Variable!B37,inputdata!$A$7:$B$9,2,0)/(1-E46))=0,"",IF(Variable!B37=inputdata!$A$9,inputdata!B28/VLOOKUP(Variable!B37,inputdata!$A$7:$B$9,2,0)*inputdata!$E28/(1-E46),inputdata!B28/VLOOKUP(Variable!B37,inputdata!$A$7:$B$9,2,0)/(1-E46))))</f>
        <v/>
      </c>
      <c r="G46" s="218" t="str">
        <f>IF(OR(inputdata!C28="-",C46="",$E46=""),"",IF(IF(Variable!$B37=inputdata!$A$9,inputdata!C28/VLOOKUP(Variable!$B37,inputdata!$A$7:$B$9,2,0)*inputdata!$E28/(1-E46),inputdata!C28/VLOOKUP(Variable!B37,inputdata!$A$7:$B$9,2,0)/(1-$E46))=0,"",IF(Variable!$B37=inputdata!$A$9,inputdata!C28/VLOOKUP(Variable!$B37,inputdata!$A$7:$B$9,2,0)*inputdata!$E28/(1-E46),inputdata!$C28/VLOOKUP(Variable!$B37,inputdata!$A$7:$B$9,2,0)/(1-$E46))))</f>
        <v/>
      </c>
      <c r="H46" s="218" t="str">
        <f>IF(OR(inputdata!D28="-",C46="",$E46=""),"",IF(IF(Variable!$B37=inputdata!$A$9,inputdata!D28/VLOOKUP(Variable!$B37,inputdata!$A$7:$B$9,2,0)*inputdata!$E28/(1-$E46),inputdata!D28/VLOOKUP(Variable!$B37,inputdata!$A$7:$B$9,2,0)/(1-$E46))=0,"",IF(Variable!$B37=inputdata!$A$9,inputdata!D28/VLOOKUP(Variable!$B37,inputdata!$A$7:$B$9,2,0)*inputdata!$E28/(1-$E46),inputdata!D28/VLOOKUP(Variable!$B37,inputdata!$A$7:$B$9,2,0)/(1-$E46))))</f>
        <v/>
      </c>
      <c r="I46" s="216" t="str">
        <f t="shared" si="1"/>
        <v/>
      </c>
      <c r="J46" s="216" t="str">
        <f t="shared" si="2"/>
        <v/>
      </c>
      <c r="U46" s="1"/>
      <c r="V46"/>
    </row>
    <row r="47" spans="1:22" x14ac:dyDescent="0.2">
      <c r="A47" s="13" t="str">
        <f>inputdata!A29</f>
        <v>cauliflower</v>
      </c>
      <c r="B47" t="str">
        <f>IF(E47="","",Variable!B38)</f>
        <v xml:space="preserve">drip </v>
      </c>
      <c r="C47" s="2" t="str">
        <f>IF(Variable!C38=0,"",Variable!C38)</f>
        <v/>
      </c>
      <c r="D47" s="1" t="str">
        <f>IF(Variable!C38="","",Variable!C38*$D$28)</f>
        <v/>
      </c>
      <c r="E47" s="2">
        <f>IF(IF(OR(Variable!B38=inputdata!$A$7,Variable!B38=inputdata!$A$8),('water demand calculation'!$D$3/(5*inputdata!I29-'water demand calculation'!$D$3)),('water demand calculation'!$D$3/(2*inputdata!G29)))&gt;Variable!$B$6,"",IF(OR(Variable!B38=inputdata!$A$7,Variable!B38=inputdata!$A$8),('water demand calculation'!$D$3/(5*inputdata!I29-'water demand calculation'!$D$3)),('water demand calculation'!$D$3/(2*inputdata!G29))))</f>
        <v>0.18691588785046731</v>
      </c>
      <c r="F47" s="218" t="str">
        <f>IF(OR(inputdata!B29="-",C47="",E47=""),"",IF(IF(Variable!B38=inputdata!$A$9,inputdata!B29/VLOOKUP(Variable!B38,inputdata!$A$7:$B$9,2,0)*inputdata!$E29/(1-E47),inputdata!B29/VLOOKUP(Variable!B38,inputdata!$A$7:$B$9,2,0)/(1-E47))=0,"",IF(Variable!B38=inputdata!$A$9,inputdata!B29/VLOOKUP(Variable!B38,inputdata!$A$7:$B$9,2,0)*inputdata!$E29/(1-E47),inputdata!B29/VLOOKUP(Variable!B38,inputdata!$A$7:$B$9,2,0)/(1-E47))))</f>
        <v/>
      </c>
      <c r="G47" s="218" t="str">
        <f>IF(OR(inputdata!C29="-",C47="",$E47=""),"",IF(IF(Variable!$B38=inputdata!$A$9,inputdata!C29/VLOOKUP(Variable!$B38,inputdata!$A$7:$B$9,2,0)*inputdata!$E29/(1-E47),inputdata!C29/VLOOKUP(Variable!B38,inputdata!$A$7:$B$9,2,0)/(1-$E47))=0,"",IF(Variable!$B38=inputdata!$A$9,inputdata!C29/VLOOKUP(Variable!$B38,inputdata!$A$7:$B$9,2,0)*inputdata!$E29/(1-E47),inputdata!$C29/VLOOKUP(Variable!$B38,inputdata!$A$7:$B$9,2,0)/(1-$E47))))</f>
        <v/>
      </c>
      <c r="H47" s="218" t="str">
        <f>IF(OR(inputdata!D29="-",C47="",$E47=""),"",IF(IF(Variable!$B38=inputdata!$A$9,inputdata!D29/VLOOKUP(Variable!$B38,inputdata!$A$7:$B$9,2,0)*inputdata!$E29/(1-$E47),inputdata!D29/VLOOKUP(Variable!$B38,inputdata!$A$7:$B$9,2,0)/(1-$E47))=0,"",IF(Variable!$B38=inputdata!$A$9,inputdata!D29/VLOOKUP(Variable!$B38,inputdata!$A$7:$B$9,2,0)*inputdata!$E29/(1-$E47),inputdata!D29/VLOOKUP(Variable!$B38,inputdata!$A$7:$B$9,2,0)/(1-$E47))))</f>
        <v/>
      </c>
      <c r="I47" s="216" t="str">
        <f t="shared" si="1"/>
        <v/>
      </c>
      <c r="J47" s="216" t="str">
        <f t="shared" si="2"/>
        <v/>
      </c>
      <c r="U47" s="1"/>
      <c r="V47"/>
    </row>
    <row r="48" spans="1:22" x14ac:dyDescent="0.2">
      <c r="A48" s="13" t="str">
        <f>inputdata!A30</f>
        <v>olive tree</v>
      </c>
      <c r="B48" t="str">
        <f>IF(E48="","",Variable!B39)</f>
        <v xml:space="preserve">drip </v>
      </c>
      <c r="C48" s="2" t="str">
        <f>IF(Variable!C39=0,"",Variable!C39)</f>
        <v/>
      </c>
      <c r="D48" s="1" t="str">
        <f>IF(Variable!C39="","",Variable!C39*$D$28)</f>
        <v/>
      </c>
      <c r="E48" s="2">
        <f>IF(IF(OR(Variable!B39=inputdata!$A$7,Variable!B39=inputdata!$A$8),('water demand calculation'!$D$3/(5*inputdata!I30-'water demand calculation'!$D$3)),('water demand calculation'!$D$3/(2*inputdata!G30)))&gt;Variable!$B$6,"",IF(OR(Variable!B39=inputdata!$A$7,Variable!B39=inputdata!$A$8),('water demand calculation'!$D$3/(5*inputdata!I30-'water demand calculation'!$D$3)),('water demand calculation'!$D$3/(2*inputdata!G30))))</f>
        <v>0.16666666666666666</v>
      </c>
      <c r="F48" s="218" t="str">
        <f>IF(OR(inputdata!B30="-",C48="",E48=""),"",IF(IF(Variable!B39=inputdata!$A$9,inputdata!B30/VLOOKUP(Variable!B39,inputdata!$A$7:$B$9,2,0)*inputdata!$E30/(1-E48),inputdata!B30/VLOOKUP(Variable!B39,inputdata!$A$7:$B$9,2,0)/(1-E48))=0,"",IF(Variable!B39=inputdata!$A$9,inputdata!B30/VLOOKUP(Variable!B39,inputdata!$A$7:$B$9,2,0)*inputdata!$E30/(1-E48),inputdata!B30/VLOOKUP(Variable!B39,inputdata!$A$7:$B$9,2,0)/(1-E48))))</f>
        <v/>
      </c>
      <c r="G48" s="218" t="str">
        <f>IF(OR(inputdata!C30="-",C48="",$E48=""),"",IF(IF(Variable!$B39=inputdata!$A$9,inputdata!C30/VLOOKUP(Variable!$B39,inputdata!$A$7:$B$9,2,0)*inputdata!$E30/(1-E48),inputdata!C30/VLOOKUP(Variable!B39,inputdata!$A$7:$B$9,2,0)/(1-$E48))=0,"",IF(Variable!$B39=inputdata!$A$9,inputdata!C30/VLOOKUP(Variable!$B39,inputdata!$A$7:$B$9,2,0)*inputdata!$E30/(1-E48),inputdata!$C30/VLOOKUP(Variable!$B39,inputdata!$A$7:$B$9,2,0)/(1-$E48))))</f>
        <v/>
      </c>
      <c r="H48" s="218" t="str">
        <f>IF(OR(inputdata!D30="-",C48="",$E48=""),"",IF(IF(Variable!$B39=inputdata!$A$9,inputdata!D30/VLOOKUP(Variable!$B39,inputdata!$A$7:$B$9,2,0)*inputdata!$E30/(1-$E48),inputdata!D30/VLOOKUP(Variable!$B39,inputdata!$A$7:$B$9,2,0)/(1-$E48))=0,"",IF(Variable!$B39=inputdata!$A$9,inputdata!D30/VLOOKUP(Variable!$B39,inputdata!$A$7:$B$9,2,0)*inputdata!$E30/(1-$E48),inputdata!D30/VLOOKUP(Variable!$B39,inputdata!$A$7:$B$9,2,0)/(1-$E48))))</f>
        <v/>
      </c>
      <c r="I48" s="216" t="str">
        <f t="shared" si="1"/>
        <v/>
      </c>
      <c r="J48" s="216" t="str">
        <f t="shared" si="2"/>
        <v/>
      </c>
      <c r="U48" s="1"/>
      <c r="V48"/>
    </row>
    <row r="49" spans="1:22" x14ac:dyDescent="0.2">
      <c r="A49" s="13" t="str">
        <f>inputdata!A31</f>
        <v>palm tree</v>
      </c>
      <c r="B49" t="str">
        <f>IF(E49="","",Variable!B40)</f>
        <v xml:space="preserve">drip </v>
      </c>
      <c r="C49" s="2" t="str">
        <f>IF(Variable!C40=0,"",Variable!C40)</f>
        <v/>
      </c>
      <c r="D49" s="1" t="str">
        <f>IF(Variable!C40="","",Variable!C40*$D$28)</f>
        <v/>
      </c>
      <c r="E49" s="2">
        <f>IF(IF(OR(Variable!B40=inputdata!$A$7,Variable!B40=inputdata!$A$8),('water demand calculation'!$D$3/(5*inputdata!I31-'water demand calculation'!$D$3)),('water demand calculation'!$D$3/(2*inputdata!G31)))&gt;Variable!$B$6,"",IF(OR(Variable!B40=inputdata!$A$7,Variable!B40=inputdata!$A$8),('water demand calculation'!$D$3/(5*inputdata!I31-'water demand calculation'!$D$3)),('water demand calculation'!$D$3/(2*inputdata!G31))))</f>
        <v>6.25E-2</v>
      </c>
      <c r="F49" s="218" t="str">
        <f>IF(OR(inputdata!B31="-",C49="",E49=""),"",IF(IF(Variable!B40=inputdata!$A$9,inputdata!B31/VLOOKUP(Variable!B40,inputdata!$A$7:$B$9,2,0)*inputdata!$E31/(1-E49),inputdata!B31/VLOOKUP(Variable!B40,inputdata!$A$7:$B$9,2,0)/(1-E49))=0,"",IF(Variable!B40=inputdata!$A$9,inputdata!B31/VLOOKUP(Variable!B40,inputdata!$A$7:$B$9,2,0)*inputdata!$E31/(1-E49),inputdata!B31/VLOOKUP(Variable!B40,inputdata!$A$7:$B$9,2,0)/(1-E49))))</f>
        <v/>
      </c>
      <c r="G49" s="218" t="str">
        <f>IF(OR(inputdata!C31="-",C49="",$E49=""),"",IF(IF(Variable!$B40=inputdata!$A$9,inputdata!C31/VLOOKUP(Variable!$B40,inputdata!$A$7:$B$9,2,0)*inputdata!$E31/(1-E49),inputdata!C31/VLOOKUP(Variable!B40,inputdata!$A$7:$B$9,2,0)/(1-$E49))=0,"",IF(Variable!$B40=inputdata!$A$9,inputdata!C31/VLOOKUP(Variable!$B40,inputdata!$A$7:$B$9,2,0)*inputdata!$E31/(1-E49),inputdata!$C31/VLOOKUP(Variable!$B40,inputdata!$A$7:$B$9,2,0)/(1-$E49))))</f>
        <v/>
      </c>
      <c r="H49" s="218" t="str">
        <f>IF(OR(inputdata!D31="-",C49="",$E49=""),"",IF(IF(Variable!$B40=inputdata!$A$9,inputdata!D31/VLOOKUP(Variable!$B40,inputdata!$A$7:$B$9,2,0)*inputdata!$E31/(1-$E49),inputdata!D31/VLOOKUP(Variable!$B40,inputdata!$A$7:$B$9,2,0)/(1-$E49))=0,"",IF(Variable!$B40=inputdata!$A$9,inputdata!D31/VLOOKUP(Variable!$B40,inputdata!$A$7:$B$9,2,0)*inputdata!$E31/(1-$E49),inputdata!D31/VLOOKUP(Variable!$B40,inputdata!$A$7:$B$9,2,0)/(1-$E49))))</f>
        <v/>
      </c>
      <c r="I49" s="216" t="str">
        <f t="shared" si="1"/>
        <v/>
      </c>
      <c r="J49" s="216" t="str">
        <f t="shared" si="2"/>
        <v/>
      </c>
      <c r="U49" s="1"/>
      <c r="V49"/>
    </row>
    <row r="50" spans="1:22" x14ac:dyDescent="0.2">
      <c r="A50" s="13" t="str">
        <f>inputdata!A32</f>
        <v>alfalfa*</v>
      </c>
      <c r="B50" t="str">
        <f>IF(E50="","",Variable!B41)</f>
        <v/>
      </c>
      <c r="C50" s="2" t="str">
        <f>IF(Variable!C41=0,"",Variable!C41)</f>
        <v/>
      </c>
      <c r="D50" s="1" t="str">
        <f>IF(Variable!C41="","",Variable!C41*$D$28)</f>
        <v/>
      </c>
      <c r="E50" s="2" t="str">
        <f>IF(IF(OR(Variable!B41=inputdata!$A$7,Variable!B41=inputdata!$A$8),('water demand calculation'!$D$3/(5*inputdata!I32-'water demand calculation'!$D$3)),('water demand calculation'!$D$3/(2*inputdata!G32)))&gt;Variable!$B$6,"",IF(OR(Variable!B41=inputdata!$A$7,Variable!B41=inputdata!$A$8),('water demand calculation'!$D$3/(5*inputdata!I32-'water demand calculation'!$D$3)),('water demand calculation'!$D$3/(2*inputdata!G32))))</f>
        <v/>
      </c>
      <c r="F50" s="218" t="str">
        <f>IF(OR(inputdata!B32="-",C50="",E50=""),"",IF(IF(Variable!B41=inputdata!$A$9,inputdata!B32/VLOOKUP(Variable!B41,inputdata!$A$7:$B$9,2,0)*inputdata!$E32/(1-E50),inputdata!B32/VLOOKUP(Variable!B41,inputdata!$A$7:$B$9,2,0)/(1-E50))=0,"",IF(Variable!B41=inputdata!$A$9,inputdata!B32/VLOOKUP(Variable!B41,inputdata!$A$7:$B$9,2,0)*inputdata!$E32/(1-E50),inputdata!B32/VLOOKUP(Variable!B41,inputdata!$A$7:$B$9,2,0)/(1-E50))))</f>
        <v/>
      </c>
      <c r="G50" s="218" t="str">
        <f>IF(OR(inputdata!C32="-",C50="",$E50=""),"",IF(IF(Variable!$B41=inputdata!$A$9,inputdata!C32/VLOOKUP(Variable!$B41,inputdata!$A$7:$B$9,2,0)*inputdata!$E32/(1-E50),inputdata!C32/VLOOKUP(Variable!B41,inputdata!$A$7:$B$9,2,0)/(1-$E50))=0,"",IF(Variable!$B41=inputdata!$A$9,inputdata!C32/VLOOKUP(Variable!$B41,inputdata!$A$7:$B$9,2,0)*inputdata!$E32/(1-E50),inputdata!$C32/VLOOKUP(Variable!$B41,inputdata!$A$7:$B$9,2,0)/(1-$E50))))</f>
        <v/>
      </c>
      <c r="H50" s="218" t="str">
        <f>IF(OR(inputdata!D32="-",C50="",$E50=""),"",IF(IF(Variable!$B41=inputdata!$A$9,inputdata!D32/VLOOKUP(Variable!$B41,inputdata!$A$7:$B$9,2,0)*inputdata!$E32/(1-$E50),inputdata!D32/VLOOKUP(Variable!$B41,inputdata!$A$7:$B$9,2,0)/(1-$E50))=0,"",IF(Variable!$B41=inputdata!$A$9,inputdata!D32/VLOOKUP(Variable!$B41,inputdata!$A$7:$B$9,2,0)*inputdata!$E32/(1-$E50),inputdata!D32/VLOOKUP(Variable!$B41,inputdata!$A$7:$B$9,2,0)/(1-$E50))))</f>
        <v/>
      </c>
      <c r="I50" s="216" t="str">
        <f t="shared" si="1"/>
        <v/>
      </c>
      <c r="J50" s="216" t="str">
        <f t="shared" si="2"/>
        <v/>
      </c>
      <c r="U50" s="1"/>
      <c r="V50"/>
    </row>
    <row r="51" spans="1:22" x14ac:dyDescent="0.2">
      <c r="C51" s="2">
        <f>SUM(C31:C50)</f>
        <v>1.2</v>
      </c>
      <c r="F51" s="216"/>
      <c r="G51" s="216"/>
      <c r="H51" s="216" t="str">
        <f>IF(OR(inputdata!D33="-",E51=""),"",IF(IF(Variable!#REF!=inputdata!$A$9,inputdata!D33/VLOOKUP(Variable!#REF!,inputdata!$A$7:$B$9,2,0)*inputdata!E33/(1-E51),inputdata!D33/VLOOKUP(Variable!#REF!,inputdata!$A$7:$B$9,2,0)/(1-E51))=0,"",IF(Variable!#REF!=inputdata!$A$9,inputdata!D33/VLOOKUP(Variable!#REF!,inputdata!$A$7:$B$9,2,0)*inputdata!E33/(1-E51),inputdata!D33/VLOOKUP(Variable!#REF!,inputdata!$A$7:$B$9,2,0)/(1-E51))))</f>
        <v/>
      </c>
      <c r="I51" s="216" t="str">
        <f>IF(OR(D51="",E51=""),"",IF(SUM(F51:H51)=0,"",SUM(F51:H51)*D51))</f>
        <v/>
      </c>
      <c r="J51" s="216" t="str">
        <f t="shared" si="2"/>
        <v/>
      </c>
    </row>
    <row r="52" spans="1:22" ht="25.5" customHeight="1" x14ac:dyDescent="0.2">
      <c r="H52" s="54" t="s">
        <v>159</v>
      </c>
      <c r="I52" s="219">
        <f>SUM(I31:I50)</f>
        <v>30240000</v>
      </c>
      <c r="J52" s="219">
        <f>SUM(J31:J50)</f>
        <v>7319.2599710748318</v>
      </c>
    </row>
    <row r="58" spans="1:22" x14ac:dyDescent="0.2">
      <c r="L58" t="str">
        <f>IF(OR(inputdata!B33="-",I58=""),"",(Variable!#REF!=inputdata!$A$9,inputdata!B33/VLOOKUP(Variable!#REF!,inputdata!$A$7:$B$9,2,0)/(1-I58)))</f>
        <v/>
      </c>
      <c r="M58" t="str">
        <f>IF(OR(inputdata!C33="-",J58=""),"",IF(inputdata!C33/VLOOKUP(Variable!#REF!,inputdata!$A$7:$B$9,2,0)*inputdata!$E33/(1-J58)=0,"",IF(Variable!#REF!=inputdata!$A$9,inputdata!C33/VLOOKUP(Variable!#REF!,inputdata!$A$7:$B$9,2,0)*inputdata!$E33/(1-J58))))</f>
        <v/>
      </c>
    </row>
  </sheetData>
  <dataConsolidate function="count">
    <dataRefs count="2">
      <dataRef ref="A31:A50" sheet="water demand calculation"/>
      <dataRef ref="G31:G51" sheet="water demand calculation"/>
    </dataRefs>
  </dataConsolidate>
  <mergeCells count="4">
    <mergeCell ref="B29:B30"/>
    <mergeCell ref="A29:A30"/>
    <mergeCell ref="D1:G1"/>
    <mergeCell ref="D5:D6"/>
  </mergeCells>
  <conditionalFormatting sqref="I51">
    <cfRule type="notContainsBlanks" dxfId="10" priority="14">
      <formula>LEN(TRIM(I51))&gt;0</formula>
    </cfRule>
  </conditionalFormatting>
  <conditionalFormatting sqref="E7:E26">
    <cfRule type="notContainsBlanks" dxfId="9" priority="8">
      <formula>LEN(TRIM(E7))&gt;0</formula>
    </cfRule>
  </conditionalFormatting>
  <conditionalFormatting sqref="F7:F26">
    <cfRule type="notContainsBlanks" dxfId="8" priority="7">
      <formula>LEN(TRIM(F7))&gt;0</formula>
    </cfRule>
  </conditionalFormatting>
  <conditionalFormatting sqref="G7:G23">
    <cfRule type="notContainsBlanks" dxfId="7" priority="6">
      <formula>LEN(TRIM(G7))&gt;0</formula>
    </cfRule>
  </conditionalFormatting>
  <conditionalFormatting sqref="F31:I50 J31:J51">
    <cfRule type="notContainsBlanks" dxfId="6" priority="5">
      <formula>LEN(TRIM(F31))&gt;0</formula>
    </cfRule>
  </conditionalFormatting>
  <conditionalFormatting sqref="D31:E50">
    <cfRule type="notContainsBlanks" dxfId="5" priority="4">
      <formula>LEN(TRIM(D31))&gt;0</formula>
    </cfRule>
  </conditionalFormatting>
  <conditionalFormatting sqref="B31:B50">
    <cfRule type="notContainsBlanks" dxfId="4" priority="3">
      <formula>LEN(TRIM(B31))&gt;0</formula>
    </cfRule>
  </conditionalFormatting>
  <conditionalFormatting sqref="D7:D26">
    <cfRule type="notContainsBlanks" dxfId="3" priority="1">
      <formula>LEN(TRIM(D7))&gt;0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Banner</vt:lpstr>
      <vt:lpstr>Variable</vt:lpstr>
      <vt:lpstr>inputdata</vt:lpstr>
      <vt:lpstr>inputdata(costs-benefits) </vt:lpstr>
      <vt:lpstr>envi risk assessment results</vt:lpstr>
      <vt:lpstr>Health risk assesment result</vt:lpstr>
      <vt:lpstr>costs-benefits results</vt:lpstr>
      <vt:lpstr>lifeCycle Costs calculation</vt:lpstr>
      <vt:lpstr>water demand calculation</vt:lpstr>
      <vt:lpstr>Health impact calculation</vt:lpstr>
      <vt:lpstr>fertiliser demand calculation</vt:lpstr>
      <vt:lpstr>A</vt:lpstr>
      <vt:lpstr>irrigationS</vt:lpstr>
      <vt:lpstr>treatment</vt:lpstr>
    </vt:vector>
  </TitlesOfParts>
  <Company>University of Leeds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Manal Elgallal</dc:creator>
  <cp:lastModifiedBy>Manal Elgallal</cp:lastModifiedBy>
  <dcterms:created xsi:type="dcterms:W3CDTF">2014-09-24T08:17:16Z</dcterms:created>
  <dcterms:modified xsi:type="dcterms:W3CDTF">2017-05-24T15:43:39Z</dcterms:modified>
</cp:coreProperties>
</file>