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filterPrivacy="1" defaultThemeVersion="124226"/>
  <bookViews>
    <workbookView xWindow="240" yWindow="105" windowWidth="14805" windowHeight="8010"/>
  </bookViews>
  <sheets>
    <sheet name="Summary" sheetId="1" r:id="rId1"/>
    <sheet name="Matrices" sheetId="4" r:id="rId2"/>
    <sheet name="Hoards" sheetId="3" r:id="rId3"/>
    <sheet name="Hoard matrices" sheetId="5" r:id="rId4"/>
  </sheets>
  <calcPr calcId="171027"/>
</workbook>
</file>

<file path=xl/calcChain.xml><?xml version="1.0" encoding="utf-8"?>
<calcChain xmlns="http://schemas.openxmlformats.org/spreadsheetml/2006/main">
  <c r="N218" i="5" l="1"/>
  <c r="L217" i="5"/>
  <c r="K217" i="5"/>
  <c r="J217" i="5"/>
  <c r="I217" i="5"/>
  <c r="H217" i="5"/>
  <c r="G217" i="5"/>
  <c r="F217" i="5"/>
  <c r="E217" i="5"/>
  <c r="M216" i="5"/>
  <c r="M215" i="5"/>
  <c r="M214" i="5"/>
  <c r="M213" i="5"/>
  <c r="M212" i="5"/>
  <c r="M211" i="5"/>
  <c r="M210" i="5"/>
  <c r="M209" i="5"/>
  <c r="M208" i="5"/>
  <c r="M207" i="5"/>
  <c r="M206" i="5"/>
  <c r="M205" i="5"/>
  <c r="M204" i="5"/>
  <c r="M203" i="5"/>
  <c r="M202" i="5"/>
  <c r="M201" i="5"/>
  <c r="M200" i="5"/>
  <c r="M199" i="5"/>
  <c r="M198" i="5"/>
  <c r="M197" i="5"/>
  <c r="M196" i="5"/>
  <c r="M195" i="5"/>
  <c r="M194" i="5"/>
  <c r="M193" i="5"/>
  <c r="M192" i="5"/>
  <c r="M191" i="5"/>
  <c r="M190" i="5"/>
  <c r="M189" i="5"/>
  <c r="M188" i="5"/>
  <c r="M187" i="5"/>
  <c r="M186" i="5"/>
  <c r="M185" i="5"/>
  <c r="M184" i="5"/>
  <c r="M183" i="5"/>
  <c r="M182" i="5"/>
  <c r="M181" i="5"/>
  <c r="M180" i="5"/>
  <c r="N174" i="5"/>
  <c r="M174" i="5"/>
  <c r="L173" i="5"/>
  <c r="K173" i="5"/>
  <c r="J173" i="5"/>
  <c r="I173" i="5"/>
  <c r="H173" i="5"/>
  <c r="H174" i="5" s="1"/>
  <c r="G173" i="5"/>
  <c r="F173" i="5"/>
  <c r="E173" i="5"/>
  <c r="M172" i="5"/>
  <c r="M171" i="5"/>
  <c r="M170" i="5"/>
  <c r="M169" i="5"/>
  <c r="M168" i="5"/>
  <c r="M167" i="5"/>
  <c r="M166" i="5"/>
  <c r="M165" i="5"/>
  <c r="M164" i="5"/>
  <c r="M163" i="5"/>
  <c r="M162" i="5"/>
  <c r="M161" i="5"/>
  <c r="M160" i="5"/>
  <c r="M159" i="5"/>
  <c r="M158" i="5"/>
  <c r="M157" i="5"/>
  <c r="M156" i="5"/>
  <c r="M155" i="5"/>
  <c r="M154" i="5"/>
  <c r="M153" i="5"/>
  <c r="M152" i="5"/>
  <c r="M151" i="5"/>
  <c r="M150" i="5"/>
  <c r="M149" i="5"/>
  <c r="M148" i="5"/>
  <c r="M147" i="5"/>
  <c r="M146" i="5"/>
  <c r="M145" i="5"/>
  <c r="M144" i="5"/>
  <c r="M143" i="5"/>
  <c r="M142" i="5"/>
  <c r="M141" i="5"/>
  <c r="M140" i="5"/>
  <c r="M139" i="5"/>
  <c r="M138" i="5"/>
  <c r="M137" i="5"/>
  <c r="M136" i="5"/>
  <c r="Z130" i="5"/>
  <c r="N130" i="5"/>
  <c r="M130" i="5"/>
  <c r="X129" i="5"/>
  <c r="W129" i="5"/>
  <c r="V129" i="5"/>
  <c r="U129" i="5"/>
  <c r="T129" i="5"/>
  <c r="S129" i="5"/>
  <c r="R129" i="5"/>
  <c r="Q129" i="5"/>
  <c r="L129" i="5"/>
  <c r="K129" i="5"/>
  <c r="J129" i="5"/>
  <c r="I129" i="5"/>
  <c r="H129" i="5"/>
  <c r="G129" i="5"/>
  <c r="F129" i="5"/>
  <c r="E129" i="5"/>
  <c r="Y128" i="5"/>
  <c r="M128" i="5"/>
  <c r="Y127" i="5"/>
  <c r="M127" i="5"/>
  <c r="Y126" i="5"/>
  <c r="M126" i="5"/>
  <c r="Y125" i="5"/>
  <c r="M125" i="5"/>
  <c r="Y124" i="5"/>
  <c r="M124" i="5"/>
  <c r="Y123" i="5"/>
  <c r="M123" i="5"/>
  <c r="Y122" i="5"/>
  <c r="M122" i="5"/>
  <c r="Y121" i="5"/>
  <c r="M121" i="5"/>
  <c r="Y120" i="5"/>
  <c r="M120" i="5"/>
  <c r="Y119" i="5"/>
  <c r="M119" i="5"/>
  <c r="Y118" i="5"/>
  <c r="M118" i="5"/>
  <c r="Y117" i="5"/>
  <c r="M117" i="5"/>
  <c r="Y116" i="5"/>
  <c r="M116" i="5"/>
  <c r="Y115" i="5"/>
  <c r="M115" i="5"/>
  <c r="Y114" i="5"/>
  <c r="M114" i="5"/>
  <c r="Y113" i="5"/>
  <c r="M113" i="5"/>
  <c r="Y112" i="5"/>
  <c r="M112" i="5"/>
  <c r="Y111" i="5"/>
  <c r="M111" i="5"/>
  <c r="Y110" i="5"/>
  <c r="M110" i="5"/>
  <c r="Y109" i="5"/>
  <c r="M109" i="5"/>
  <c r="Y108" i="5"/>
  <c r="M108" i="5"/>
  <c r="Y107" i="5"/>
  <c r="M107" i="5"/>
  <c r="Y106" i="5"/>
  <c r="M106" i="5"/>
  <c r="Y105" i="5"/>
  <c r="M105" i="5"/>
  <c r="Y104" i="5"/>
  <c r="M104" i="5"/>
  <c r="Y103" i="5"/>
  <c r="M103" i="5"/>
  <c r="Y102" i="5"/>
  <c r="M102" i="5"/>
  <c r="Y101" i="5"/>
  <c r="M101" i="5"/>
  <c r="Y100" i="5"/>
  <c r="M100" i="5"/>
  <c r="Y99" i="5"/>
  <c r="M99" i="5"/>
  <c r="Y98" i="5"/>
  <c r="M98" i="5"/>
  <c r="Y97" i="5"/>
  <c r="M97" i="5"/>
  <c r="Y96" i="5"/>
  <c r="M96" i="5"/>
  <c r="Y95" i="5"/>
  <c r="M95" i="5"/>
  <c r="Y94" i="5"/>
  <c r="M94" i="5"/>
  <c r="Y93" i="5"/>
  <c r="M93" i="5"/>
  <c r="Y92" i="5"/>
  <c r="M92" i="5"/>
  <c r="Z89" i="5"/>
  <c r="N86" i="5"/>
  <c r="L85" i="5"/>
  <c r="K85" i="5"/>
  <c r="J85" i="5"/>
  <c r="I85" i="5"/>
  <c r="H85" i="5"/>
  <c r="G85" i="5"/>
  <c r="F85" i="5"/>
  <c r="E85" i="5"/>
  <c r="M84" i="5"/>
  <c r="M83" i="5"/>
  <c r="M82" i="5"/>
  <c r="M81" i="5"/>
  <c r="M80" i="5"/>
  <c r="M79" i="5"/>
  <c r="M78" i="5"/>
  <c r="M77" i="5"/>
  <c r="M76" i="5"/>
  <c r="M75" i="5"/>
  <c r="M74" i="5"/>
  <c r="M73" i="5"/>
  <c r="M72" i="5"/>
  <c r="M71" i="5"/>
  <c r="M70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O44" i="5"/>
  <c r="L40" i="5"/>
  <c r="K40" i="5"/>
  <c r="J40" i="5"/>
  <c r="I40" i="5"/>
  <c r="H40" i="5"/>
  <c r="G40" i="5"/>
  <c r="F40" i="5"/>
  <c r="E40" i="5"/>
  <c r="L39" i="5"/>
  <c r="K39" i="5"/>
  <c r="J39" i="5"/>
  <c r="I39" i="5"/>
  <c r="H39" i="5"/>
  <c r="G39" i="5"/>
  <c r="F39" i="5"/>
  <c r="E39" i="5"/>
  <c r="L38" i="5"/>
  <c r="K38" i="5"/>
  <c r="J38" i="5"/>
  <c r="I38" i="5"/>
  <c r="H38" i="5"/>
  <c r="G38" i="5"/>
  <c r="F38" i="5"/>
  <c r="E38" i="5"/>
  <c r="L37" i="5"/>
  <c r="K37" i="5"/>
  <c r="J37" i="5"/>
  <c r="I37" i="5"/>
  <c r="H37" i="5"/>
  <c r="G37" i="5"/>
  <c r="F37" i="5"/>
  <c r="E37" i="5"/>
  <c r="L36" i="5"/>
  <c r="K36" i="5"/>
  <c r="J36" i="5"/>
  <c r="I36" i="5"/>
  <c r="H36" i="5"/>
  <c r="G36" i="5"/>
  <c r="F36" i="5"/>
  <c r="E36" i="5"/>
  <c r="L35" i="5"/>
  <c r="K35" i="5"/>
  <c r="J35" i="5"/>
  <c r="I35" i="5"/>
  <c r="H35" i="5"/>
  <c r="G35" i="5"/>
  <c r="F35" i="5"/>
  <c r="E35" i="5"/>
  <c r="R36" i="4" s="1"/>
  <c r="L34" i="5"/>
  <c r="K34" i="5"/>
  <c r="J34" i="5"/>
  <c r="I34" i="5"/>
  <c r="H34" i="5"/>
  <c r="G34" i="5"/>
  <c r="F34" i="5"/>
  <c r="E34" i="5"/>
  <c r="L33" i="5"/>
  <c r="K33" i="5"/>
  <c r="J33" i="5"/>
  <c r="I33" i="5"/>
  <c r="H33" i="5"/>
  <c r="G33" i="5"/>
  <c r="F33" i="5"/>
  <c r="E33" i="5"/>
  <c r="L32" i="5"/>
  <c r="K32" i="5"/>
  <c r="J32" i="5"/>
  <c r="I32" i="5"/>
  <c r="H32" i="5"/>
  <c r="G32" i="5"/>
  <c r="F32" i="5"/>
  <c r="E32" i="5"/>
  <c r="L31" i="5"/>
  <c r="K31" i="5"/>
  <c r="J31" i="5"/>
  <c r="I31" i="5"/>
  <c r="H31" i="5"/>
  <c r="G31" i="5"/>
  <c r="F31" i="5"/>
  <c r="E31" i="5"/>
  <c r="L30" i="5"/>
  <c r="K30" i="5"/>
  <c r="J30" i="5"/>
  <c r="I30" i="5"/>
  <c r="H30" i="5"/>
  <c r="G30" i="5"/>
  <c r="F30" i="5"/>
  <c r="E30" i="5"/>
  <c r="L29" i="5"/>
  <c r="K29" i="5"/>
  <c r="J29" i="5"/>
  <c r="I29" i="5"/>
  <c r="H29" i="5"/>
  <c r="G29" i="5"/>
  <c r="F29" i="5"/>
  <c r="E29" i="5"/>
  <c r="L28" i="5"/>
  <c r="K28" i="5"/>
  <c r="J28" i="5"/>
  <c r="I28" i="5"/>
  <c r="H28" i="5"/>
  <c r="G28" i="5"/>
  <c r="F28" i="5"/>
  <c r="E28" i="5"/>
  <c r="L27" i="5"/>
  <c r="K27" i="5"/>
  <c r="J27" i="5"/>
  <c r="I27" i="5"/>
  <c r="H27" i="5"/>
  <c r="G27" i="5"/>
  <c r="F27" i="5"/>
  <c r="E27" i="5"/>
  <c r="L26" i="5"/>
  <c r="K26" i="5"/>
  <c r="J26" i="5"/>
  <c r="I26" i="5"/>
  <c r="H26" i="5"/>
  <c r="G26" i="5"/>
  <c r="F26" i="5"/>
  <c r="E26" i="5"/>
  <c r="L25" i="5"/>
  <c r="K25" i="5"/>
  <c r="J25" i="5"/>
  <c r="I25" i="5"/>
  <c r="H25" i="5"/>
  <c r="G25" i="5"/>
  <c r="F25" i="5"/>
  <c r="E25" i="5"/>
  <c r="L24" i="5"/>
  <c r="K24" i="5"/>
  <c r="J24" i="5"/>
  <c r="I24" i="5"/>
  <c r="H24" i="5"/>
  <c r="G24" i="5"/>
  <c r="F24" i="5"/>
  <c r="E24" i="5"/>
  <c r="L23" i="5"/>
  <c r="K23" i="5"/>
  <c r="J23" i="5"/>
  <c r="I23" i="5"/>
  <c r="H23" i="5"/>
  <c r="G23" i="5"/>
  <c r="F23" i="5"/>
  <c r="E23" i="5"/>
  <c r="L22" i="5"/>
  <c r="K22" i="5"/>
  <c r="J22" i="5"/>
  <c r="I22" i="5"/>
  <c r="H22" i="5"/>
  <c r="G22" i="5"/>
  <c r="F22" i="5"/>
  <c r="E22" i="5"/>
  <c r="L21" i="5"/>
  <c r="K21" i="5"/>
  <c r="J21" i="5"/>
  <c r="I21" i="5"/>
  <c r="H21" i="5"/>
  <c r="G21" i="5"/>
  <c r="F21" i="5"/>
  <c r="E21" i="5"/>
  <c r="L20" i="5"/>
  <c r="K20" i="5"/>
  <c r="J20" i="5"/>
  <c r="I20" i="5"/>
  <c r="H20" i="5"/>
  <c r="G20" i="5"/>
  <c r="F20" i="5"/>
  <c r="E20" i="5"/>
  <c r="L19" i="5"/>
  <c r="K19" i="5"/>
  <c r="J19" i="5"/>
  <c r="I19" i="5"/>
  <c r="H19" i="5"/>
  <c r="G19" i="5"/>
  <c r="F19" i="5"/>
  <c r="E19" i="5"/>
  <c r="L18" i="5"/>
  <c r="K18" i="5"/>
  <c r="J18" i="5"/>
  <c r="I18" i="5"/>
  <c r="H18" i="5"/>
  <c r="G18" i="5"/>
  <c r="F18" i="5"/>
  <c r="E18" i="5"/>
  <c r="L17" i="5"/>
  <c r="K17" i="5"/>
  <c r="J17" i="5"/>
  <c r="I17" i="5"/>
  <c r="H17" i="5"/>
  <c r="G17" i="5"/>
  <c r="F17" i="5"/>
  <c r="E17" i="5"/>
  <c r="L16" i="5"/>
  <c r="K16" i="5"/>
  <c r="J16" i="5"/>
  <c r="I16" i="5"/>
  <c r="H16" i="5"/>
  <c r="G16" i="5"/>
  <c r="F16" i="5"/>
  <c r="E16" i="5"/>
  <c r="L15" i="5"/>
  <c r="K15" i="5"/>
  <c r="J15" i="5"/>
  <c r="I15" i="5"/>
  <c r="H15" i="5"/>
  <c r="G15" i="5"/>
  <c r="F15" i="5"/>
  <c r="E15" i="5"/>
  <c r="M15" i="5" s="1"/>
  <c r="L14" i="5"/>
  <c r="K14" i="5"/>
  <c r="J14" i="5"/>
  <c r="I14" i="5"/>
  <c r="H14" i="5"/>
  <c r="G14" i="5"/>
  <c r="F14" i="5"/>
  <c r="E14" i="5"/>
  <c r="M14" i="5" s="1"/>
  <c r="L13" i="5"/>
  <c r="K13" i="5"/>
  <c r="J13" i="5"/>
  <c r="I13" i="5"/>
  <c r="H13" i="5"/>
  <c r="G13" i="5"/>
  <c r="F13" i="5"/>
  <c r="E13" i="5"/>
  <c r="L12" i="5"/>
  <c r="K12" i="5"/>
  <c r="J12" i="5"/>
  <c r="I12" i="5"/>
  <c r="H12" i="5"/>
  <c r="G12" i="5"/>
  <c r="F12" i="5"/>
  <c r="E12" i="5"/>
  <c r="M12" i="5" s="1"/>
  <c r="L11" i="5"/>
  <c r="K11" i="5"/>
  <c r="J11" i="5"/>
  <c r="I11" i="5"/>
  <c r="H11" i="5"/>
  <c r="G11" i="5"/>
  <c r="F11" i="5"/>
  <c r="E11" i="5"/>
  <c r="M11" i="5" s="1"/>
  <c r="L10" i="5"/>
  <c r="K10" i="5"/>
  <c r="J10" i="5"/>
  <c r="I10" i="5"/>
  <c r="H10" i="5"/>
  <c r="G10" i="5"/>
  <c r="F10" i="5"/>
  <c r="E10" i="5"/>
  <c r="M10" i="5" s="1"/>
  <c r="L9" i="5"/>
  <c r="K9" i="5"/>
  <c r="J9" i="5"/>
  <c r="I9" i="5"/>
  <c r="H9" i="5"/>
  <c r="G9" i="5"/>
  <c r="F9" i="5"/>
  <c r="E9" i="5"/>
  <c r="M9" i="5" s="1"/>
  <c r="L8" i="5"/>
  <c r="K8" i="5"/>
  <c r="J8" i="5"/>
  <c r="I8" i="5"/>
  <c r="H8" i="5"/>
  <c r="G8" i="5"/>
  <c r="F8" i="5"/>
  <c r="E8" i="5"/>
  <c r="M8" i="5" s="1"/>
  <c r="L7" i="5"/>
  <c r="K7" i="5"/>
  <c r="J7" i="5"/>
  <c r="I7" i="5"/>
  <c r="H7" i="5"/>
  <c r="G7" i="5"/>
  <c r="F7" i="5"/>
  <c r="E7" i="5"/>
  <c r="M7" i="5" s="1"/>
  <c r="L6" i="5"/>
  <c r="K6" i="5"/>
  <c r="J6" i="5"/>
  <c r="I6" i="5"/>
  <c r="V7" i="4" s="1"/>
  <c r="H6" i="5"/>
  <c r="G6" i="5"/>
  <c r="F6" i="5"/>
  <c r="E6" i="5"/>
  <c r="M6" i="5" s="1"/>
  <c r="L5" i="5"/>
  <c r="K5" i="5"/>
  <c r="J5" i="5"/>
  <c r="I5" i="5"/>
  <c r="H5" i="5"/>
  <c r="G5" i="5"/>
  <c r="F5" i="5"/>
  <c r="E5" i="5"/>
  <c r="M5" i="5" s="1"/>
  <c r="L4" i="5"/>
  <c r="K4" i="5"/>
  <c r="J4" i="5"/>
  <c r="J41" i="5" s="1"/>
  <c r="I4" i="5"/>
  <c r="H4" i="5"/>
  <c r="G4" i="5"/>
  <c r="F4" i="5"/>
  <c r="F41" i="5" s="1"/>
  <c r="E4" i="5"/>
  <c r="E41" i="5" s="1"/>
  <c r="N219" i="4"/>
  <c r="L218" i="4"/>
  <c r="K218" i="4"/>
  <c r="J218" i="4"/>
  <c r="I218" i="4"/>
  <c r="H218" i="4"/>
  <c r="G218" i="4"/>
  <c r="F218" i="4"/>
  <c r="E218" i="4"/>
  <c r="M217" i="4"/>
  <c r="M216" i="4"/>
  <c r="M215" i="4"/>
  <c r="M214" i="4"/>
  <c r="M213" i="4"/>
  <c r="M212" i="4"/>
  <c r="M211" i="4"/>
  <c r="M210" i="4"/>
  <c r="M209" i="4"/>
  <c r="M208" i="4"/>
  <c r="M207" i="4"/>
  <c r="M206" i="4"/>
  <c r="M205" i="4"/>
  <c r="M204" i="4"/>
  <c r="M203" i="4"/>
  <c r="M202" i="4"/>
  <c r="M201" i="4"/>
  <c r="M200" i="4"/>
  <c r="M199" i="4"/>
  <c r="M198" i="4"/>
  <c r="M197" i="4"/>
  <c r="M196" i="4"/>
  <c r="M195" i="4"/>
  <c r="M194" i="4"/>
  <c r="M193" i="4"/>
  <c r="M192" i="4"/>
  <c r="M191" i="4"/>
  <c r="M190" i="4"/>
  <c r="M189" i="4"/>
  <c r="M188" i="4"/>
  <c r="M187" i="4"/>
  <c r="M186" i="4"/>
  <c r="M185" i="4"/>
  <c r="M184" i="4"/>
  <c r="M183" i="4"/>
  <c r="M182" i="4"/>
  <c r="M181" i="4"/>
  <c r="L175" i="4"/>
  <c r="K175" i="4"/>
  <c r="J175" i="4"/>
  <c r="I175" i="4"/>
  <c r="H175" i="4"/>
  <c r="G175" i="4"/>
  <c r="E175" i="4"/>
  <c r="M174" i="4"/>
  <c r="M173" i="4"/>
  <c r="M172" i="4"/>
  <c r="M171" i="4"/>
  <c r="M170" i="4"/>
  <c r="M169" i="4"/>
  <c r="M168" i="4"/>
  <c r="M167" i="4"/>
  <c r="M166" i="4"/>
  <c r="F165" i="4"/>
  <c r="M164" i="4"/>
  <c r="M163" i="4"/>
  <c r="M162" i="4"/>
  <c r="M161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L132" i="4"/>
  <c r="K132" i="4"/>
  <c r="J132" i="4"/>
  <c r="G132" i="4"/>
  <c r="M131" i="4"/>
  <c r="M130" i="4"/>
  <c r="M129" i="4"/>
  <c r="M128" i="4"/>
  <c r="M127" i="4"/>
  <c r="F126" i="4"/>
  <c r="M125" i="4"/>
  <c r="M124" i="4"/>
  <c r="I123" i="4"/>
  <c r="I132" i="4" s="1"/>
  <c r="F123" i="4"/>
  <c r="M122" i="4"/>
  <c r="M121" i="4"/>
  <c r="M120" i="4"/>
  <c r="M119" i="4"/>
  <c r="M118" i="4"/>
  <c r="H117" i="4"/>
  <c r="M117" i="4" s="1"/>
  <c r="M116" i="4"/>
  <c r="M115" i="4"/>
  <c r="M114" i="4"/>
  <c r="M113" i="4"/>
  <c r="M112" i="4"/>
  <c r="M111" i="4"/>
  <c r="F110" i="4"/>
  <c r="F20" i="4" s="1"/>
  <c r="S20" i="4" s="1"/>
  <c r="M109" i="4"/>
  <c r="M108" i="4"/>
  <c r="M107" i="4"/>
  <c r="M106" i="4"/>
  <c r="E105" i="4"/>
  <c r="M105" i="4" s="1"/>
  <c r="E104" i="4"/>
  <c r="M104" i="4" s="1"/>
  <c r="E103" i="4"/>
  <c r="M102" i="4"/>
  <c r="M101" i="4"/>
  <c r="M100" i="4"/>
  <c r="M99" i="4"/>
  <c r="M98" i="4"/>
  <c r="M97" i="4"/>
  <c r="M96" i="4"/>
  <c r="M95" i="4"/>
  <c r="N90" i="4"/>
  <c r="AA89" i="4"/>
  <c r="Z89" i="4"/>
  <c r="Y89" i="4"/>
  <c r="X89" i="4"/>
  <c r="W89" i="4"/>
  <c r="V89" i="4"/>
  <c r="U89" i="4"/>
  <c r="T89" i="4"/>
  <c r="L89" i="4"/>
  <c r="K89" i="4"/>
  <c r="J89" i="4"/>
  <c r="I89" i="4"/>
  <c r="H89" i="4"/>
  <c r="G89" i="4"/>
  <c r="F89" i="4"/>
  <c r="E89" i="4"/>
  <c r="AB88" i="4"/>
  <c r="M88" i="4"/>
  <c r="AB87" i="4"/>
  <c r="M87" i="4"/>
  <c r="AB86" i="4"/>
  <c r="M86" i="4"/>
  <c r="AB85" i="4"/>
  <c r="M85" i="4"/>
  <c r="AB84" i="4"/>
  <c r="M84" i="4"/>
  <c r="AB83" i="4"/>
  <c r="M83" i="4"/>
  <c r="AB82" i="4"/>
  <c r="M82" i="4"/>
  <c r="AB81" i="4"/>
  <c r="M81" i="4"/>
  <c r="AB80" i="4"/>
  <c r="M80" i="4"/>
  <c r="AB79" i="4"/>
  <c r="M79" i="4"/>
  <c r="AB78" i="4"/>
  <c r="M78" i="4"/>
  <c r="AB77" i="4"/>
  <c r="M77" i="4"/>
  <c r="AB76" i="4"/>
  <c r="M76" i="4"/>
  <c r="AB75" i="4"/>
  <c r="M75" i="4"/>
  <c r="AB74" i="4"/>
  <c r="M74" i="4"/>
  <c r="AB73" i="4"/>
  <c r="M73" i="4"/>
  <c r="AB72" i="4"/>
  <c r="M72" i="4"/>
  <c r="AB71" i="4"/>
  <c r="M71" i="4"/>
  <c r="AB70" i="4"/>
  <c r="M70" i="4"/>
  <c r="AB69" i="4"/>
  <c r="M69" i="4"/>
  <c r="AB68" i="4"/>
  <c r="M68" i="4"/>
  <c r="AB67" i="4"/>
  <c r="M67" i="4"/>
  <c r="AB66" i="4"/>
  <c r="M66" i="4"/>
  <c r="AB65" i="4"/>
  <c r="M65" i="4"/>
  <c r="AB64" i="4"/>
  <c r="M64" i="4"/>
  <c r="AB63" i="4"/>
  <c r="M63" i="4"/>
  <c r="AB62" i="4"/>
  <c r="M62" i="4"/>
  <c r="AB61" i="4"/>
  <c r="M61" i="4"/>
  <c r="AB60" i="4"/>
  <c r="M60" i="4"/>
  <c r="AB59" i="4"/>
  <c r="M59" i="4"/>
  <c r="AB58" i="4"/>
  <c r="M58" i="4"/>
  <c r="AB57" i="4"/>
  <c r="M57" i="4"/>
  <c r="AB56" i="4"/>
  <c r="M56" i="4"/>
  <c r="AB55" i="4"/>
  <c r="M55" i="4"/>
  <c r="AB54" i="4"/>
  <c r="M54" i="4"/>
  <c r="AB53" i="4"/>
  <c r="M53" i="4"/>
  <c r="AB52" i="4"/>
  <c r="M52" i="4"/>
  <c r="L46" i="4"/>
  <c r="Y46" i="4" s="1"/>
  <c r="K46" i="4"/>
  <c r="X46" i="4" s="1"/>
  <c r="J46" i="4"/>
  <c r="W46" i="4" s="1"/>
  <c r="I46" i="4"/>
  <c r="V46" i="4" s="1"/>
  <c r="H46" i="4"/>
  <c r="U46" i="4" s="1"/>
  <c r="G46" i="4"/>
  <c r="T46" i="4" s="1"/>
  <c r="F46" i="4"/>
  <c r="S46" i="4" s="1"/>
  <c r="E46" i="4"/>
  <c r="R46" i="4" s="1"/>
  <c r="AB45" i="4"/>
  <c r="O45" i="4"/>
  <c r="U41" i="4"/>
  <c r="L41" i="4"/>
  <c r="K41" i="4"/>
  <c r="X41" i="4" s="1"/>
  <c r="J41" i="4"/>
  <c r="W41" i="4" s="1"/>
  <c r="I41" i="4"/>
  <c r="V41" i="4" s="1"/>
  <c r="H41" i="4"/>
  <c r="G41" i="4"/>
  <c r="T41" i="4" s="1"/>
  <c r="F41" i="4"/>
  <c r="S41" i="4" s="1"/>
  <c r="E41" i="4"/>
  <c r="R41" i="4" s="1"/>
  <c r="AC40" i="4"/>
  <c r="L40" i="4"/>
  <c r="Y40" i="4" s="1"/>
  <c r="K40" i="4"/>
  <c r="X40" i="4" s="1"/>
  <c r="J40" i="4"/>
  <c r="W40" i="4" s="1"/>
  <c r="I40" i="4"/>
  <c r="H40" i="4"/>
  <c r="U40" i="4" s="1"/>
  <c r="G40" i="4"/>
  <c r="T40" i="4" s="1"/>
  <c r="F40" i="4"/>
  <c r="S40" i="4" s="1"/>
  <c r="E40" i="4"/>
  <c r="AC39" i="4"/>
  <c r="Y39" i="4"/>
  <c r="L39" i="4"/>
  <c r="K39" i="4"/>
  <c r="J39" i="4"/>
  <c r="W39" i="4" s="1"/>
  <c r="I39" i="4"/>
  <c r="H39" i="4"/>
  <c r="U39" i="4" s="1"/>
  <c r="G39" i="4"/>
  <c r="T39" i="4" s="1"/>
  <c r="F39" i="4"/>
  <c r="S39" i="4" s="1"/>
  <c r="E39" i="4"/>
  <c r="AC38" i="4"/>
  <c r="L38" i="4"/>
  <c r="Y38" i="4" s="1"/>
  <c r="K38" i="4"/>
  <c r="X38" i="4" s="1"/>
  <c r="J38" i="4"/>
  <c r="W38" i="4" s="1"/>
  <c r="I38" i="4"/>
  <c r="V38" i="4" s="1"/>
  <c r="H38" i="4"/>
  <c r="U38" i="4" s="1"/>
  <c r="G38" i="4"/>
  <c r="T38" i="4" s="1"/>
  <c r="F38" i="4"/>
  <c r="S38" i="4" s="1"/>
  <c r="E38" i="4"/>
  <c r="AC37" i="4"/>
  <c r="L37" i="4"/>
  <c r="Y37" i="4" s="1"/>
  <c r="K37" i="4"/>
  <c r="X37" i="4" s="1"/>
  <c r="J37" i="4"/>
  <c r="W37" i="4" s="1"/>
  <c r="I37" i="4"/>
  <c r="V37" i="4" s="1"/>
  <c r="H37" i="4"/>
  <c r="U37" i="4" s="1"/>
  <c r="G37" i="4"/>
  <c r="T37" i="4" s="1"/>
  <c r="F37" i="4"/>
  <c r="S37" i="4" s="1"/>
  <c r="E37" i="4"/>
  <c r="AC36" i="4"/>
  <c r="L36" i="4"/>
  <c r="Y36" i="4" s="1"/>
  <c r="K36" i="4"/>
  <c r="X36" i="4" s="1"/>
  <c r="J36" i="4"/>
  <c r="W36" i="4" s="1"/>
  <c r="I36" i="4"/>
  <c r="H36" i="4"/>
  <c r="U36" i="4" s="1"/>
  <c r="G36" i="4"/>
  <c r="T36" i="4" s="1"/>
  <c r="E36" i="4"/>
  <c r="AC35" i="4"/>
  <c r="S35" i="4"/>
  <c r="L35" i="4"/>
  <c r="Y35" i="4" s="1"/>
  <c r="K35" i="4"/>
  <c r="X35" i="4" s="1"/>
  <c r="J35" i="4"/>
  <c r="I35" i="4"/>
  <c r="V35" i="4" s="1"/>
  <c r="H35" i="4"/>
  <c r="U35" i="4" s="1"/>
  <c r="G35" i="4"/>
  <c r="T35" i="4" s="1"/>
  <c r="F35" i="4"/>
  <c r="E35" i="4"/>
  <c r="R35" i="4" s="1"/>
  <c r="AC34" i="4"/>
  <c r="L34" i="4"/>
  <c r="Y34" i="4" s="1"/>
  <c r="K34" i="4"/>
  <c r="X34" i="4" s="1"/>
  <c r="J34" i="4"/>
  <c r="I34" i="4"/>
  <c r="H34" i="4"/>
  <c r="U34" i="4" s="1"/>
  <c r="G34" i="4"/>
  <c r="T34" i="4" s="1"/>
  <c r="F34" i="4"/>
  <c r="E34" i="4"/>
  <c r="AC33" i="4"/>
  <c r="Y33" i="4"/>
  <c r="L33" i="4"/>
  <c r="K33" i="4"/>
  <c r="X33" i="4" s="1"/>
  <c r="J33" i="4"/>
  <c r="I33" i="4"/>
  <c r="H33" i="4"/>
  <c r="U33" i="4" s="1"/>
  <c r="G33" i="4"/>
  <c r="T33" i="4" s="1"/>
  <c r="E33" i="4"/>
  <c r="R33" i="4" s="1"/>
  <c r="AC32" i="4"/>
  <c r="L32" i="4"/>
  <c r="K32" i="4"/>
  <c r="X32" i="4" s="1"/>
  <c r="J32" i="4"/>
  <c r="W32" i="4" s="1"/>
  <c r="I32" i="4"/>
  <c r="H32" i="4"/>
  <c r="G32" i="4"/>
  <c r="T32" i="4" s="1"/>
  <c r="E32" i="4"/>
  <c r="AC31" i="4"/>
  <c r="L31" i="4"/>
  <c r="K31" i="4"/>
  <c r="J31" i="4"/>
  <c r="W31" i="4" s="1"/>
  <c r="I31" i="4"/>
  <c r="H31" i="4"/>
  <c r="G31" i="4"/>
  <c r="F31" i="4"/>
  <c r="S31" i="4" s="1"/>
  <c r="E31" i="4"/>
  <c r="AC30" i="4"/>
  <c r="V30" i="4"/>
  <c r="U30" i="4"/>
  <c r="L30" i="4"/>
  <c r="K30" i="4"/>
  <c r="X30" i="4" s="1"/>
  <c r="J30" i="4"/>
  <c r="W30" i="4" s="1"/>
  <c r="I30" i="4"/>
  <c r="H30" i="4"/>
  <c r="G30" i="4"/>
  <c r="T30" i="4" s="1"/>
  <c r="F30" i="4"/>
  <c r="S30" i="4" s="1"/>
  <c r="E30" i="4"/>
  <c r="AC29" i="4"/>
  <c r="L29" i="4"/>
  <c r="Y29" i="4" s="1"/>
  <c r="K29" i="4"/>
  <c r="X29" i="4" s="1"/>
  <c r="J29" i="4"/>
  <c r="W29" i="4" s="1"/>
  <c r="I29" i="4"/>
  <c r="V29" i="4" s="1"/>
  <c r="H29" i="4"/>
  <c r="U29" i="4" s="1"/>
  <c r="G29" i="4"/>
  <c r="T29" i="4" s="1"/>
  <c r="F29" i="4"/>
  <c r="S29" i="4" s="1"/>
  <c r="E29" i="4"/>
  <c r="AC28" i="4"/>
  <c r="L28" i="4"/>
  <c r="Y28" i="4" s="1"/>
  <c r="K28" i="4"/>
  <c r="X28" i="4" s="1"/>
  <c r="J28" i="4"/>
  <c r="I28" i="4"/>
  <c r="H28" i="4"/>
  <c r="U28" i="4" s="1"/>
  <c r="G28" i="4"/>
  <c r="T28" i="4" s="1"/>
  <c r="F28" i="4"/>
  <c r="S28" i="4" s="1"/>
  <c r="E28" i="4"/>
  <c r="AC27" i="4"/>
  <c r="X27" i="4"/>
  <c r="L27" i="4"/>
  <c r="Y27" i="4" s="1"/>
  <c r="K27" i="4"/>
  <c r="J27" i="4"/>
  <c r="W27" i="4" s="1"/>
  <c r="I27" i="4"/>
  <c r="H27" i="4"/>
  <c r="U27" i="4" s="1"/>
  <c r="G27" i="4"/>
  <c r="T27" i="4" s="1"/>
  <c r="F27" i="4"/>
  <c r="S27" i="4" s="1"/>
  <c r="E27" i="4"/>
  <c r="AC26" i="4"/>
  <c r="L26" i="4"/>
  <c r="Y26" i="4" s="1"/>
  <c r="K26" i="4"/>
  <c r="X26" i="4" s="1"/>
  <c r="J26" i="4"/>
  <c r="W26" i="4" s="1"/>
  <c r="I26" i="4"/>
  <c r="H26" i="4"/>
  <c r="U26" i="4" s="1"/>
  <c r="G26" i="4"/>
  <c r="T26" i="4" s="1"/>
  <c r="F26" i="4"/>
  <c r="S26" i="4" s="1"/>
  <c r="E26" i="4"/>
  <c r="AC25" i="4"/>
  <c r="L25" i="4"/>
  <c r="Y25" i="4" s="1"/>
  <c r="K25" i="4"/>
  <c r="X25" i="4" s="1"/>
  <c r="J25" i="4"/>
  <c r="W25" i="4" s="1"/>
  <c r="I25" i="4"/>
  <c r="H25" i="4"/>
  <c r="U25" i="4" s="1"/>
  <c r="G25" i="4"/>
  <c r="T25" i="4" s="1"/>
  <c r="F25" i="4"/>
  <c r="S25" i="4" s="1"/>
  <c r="E25" i="4"/>
  <c r="AC24" i="4"/>
  <c r="Y24" i="4"/>
  <c r="L24" i="4"/>
  <c r="K24" i="4"/>
  <c r="J24" i="4"/>
  <c r="W24" i="4" s="1"/>
  <c r="I24" i="4"/>
  <c r="H24" i="4"/>
  <c r="U24" i="4" s="1"/>
  <c r="G24" i="4"/>
  <c r="F24" i="4"/>
  <c r="E24" i="4"/>
  <c r="AC23" i="4"/>
  <c r="T23" i="4"/>
  <c r="L23" i="4"/>
  <c r="Y23" i="4" s="1"/>
  <c r="K23" i="4"/>
  <c r="X23" i="4" s="1"/>
  <c r="J23" i="4"/>
  <c r="W23" i="4" s="1"/>
  <c r="I23" i="4"/>
  <c r="V23" i="4" s="1"/>
  <c r="H23" i="4"/>
  <c r="U23" i="4" s="1"/>
  <c r="G23" i="4"/>
  <c r="F23" i="4"/>
  <c r="S23" i="4" s="1"/>
  <c r="E23" i="4"/>
  <c r="R23" i="4" s="1"/>
  <c r="AC22" i="4"/>
  <c r="L22" i="4"/>
  <c r="Y22" i="4" s="1"/>
  <c r="K22" i="4"/>
  <c r="X22" i="4" s="1"/>
  <c r="J22" i="4"/>
  <c r="W22" i="4" s="1"/>
  <c r="I22" i="4"/>
  <c r="H22" i="4"/>
  <c r="U22" i="4" s="1"/>
  <c r="G22" i="4"/>
  <c r="T22" i="4" s="1"/>
  <c r="F22" i="4"/>
  <c r="S22" i="4" s="1"/>
  <c r="E22" i="4"/>
  <c r="AC21" i="4"/>
  <c r="L21" i="4"/>
  <c r="Y21" i="4" s="1"/>
  <c r="K21" i="4"/>
  <c r="X21" i="4" s="1"/>
  <c r="J21" i="4"/>
  <c r="W21" i="4" s="1"/>
  <c r="I21" i="4"/>
  <c r="H21" i="4"/>
  <c r="U21" i="4" s="1"/>
  <c r="G21" i="4"/>
  <c r="T21" i="4" s="1"/>
  <c r="F21" i="4"/>
  <c r="S21" i="4" s="1"/>
  <c r="E21" i="4"/>
  <c r="AC20" i="4"/>
  <c r="L20" i="4"/>
  <c r="Y20" i="4" s="1"/>
  <c r="K20" i="4"/>
  <c r="J20" i="4"/>
  <c r="I20" i="4"/>
  <c r="H20" i="4"/>
  <c r="U20" i="4" s="1"/>
  <c r="G20" i="4"/>
  <c r="E20" i="4"/>
  <c r="AC19" i="4"/>
  <c r="Y19" i="4"/>
  <c r="U19" i="4"/>
  <c r="L19" i="4"/>
  <c r="K19" i="4"/>
  <c r="X19" i="4" s="1"/>
  <c r="J19" i="4"/>
  <c r="W19" i="4" s="1"/>
  <c r="I19" i="4"/>
  <c r="H19" i="4"/>
  <c r="G19" i="4"/>
  <c r="T19" i="4" s="1"/>
  <c r="F19" i="4"/>
  <c r="S19" i="4" s="1"/>
  <c r="E19" i="4"/>
  <c r="AC18" i="4"/>
  <c r="L18" i="4"/>
  <c r="Y18" i="4" s="1"/>
  <c r="K18" i="4"/>
  <c r="X18" i="4" s="1"/>
  <c r="J18" i="4"/>
  <c r="W18" i="4" s="1"/>
  <c r="I18" i="4"/>
  <c r="H18" i="4"/>
  <c r="U18" i="4" s="1"/>
  <c r="G18" i="4"/>
  <c r="T18" i="4" s="1"/>
  <c r="F18" i="4"/>
  <c r="S18" i="4" s="1"/>
  <c r="E18" i="4"/>
  <c r="AC17" i="4"/>
  <c r="L17" i="4"/>
  <c r="Y17" i="4" s="1"/>
  <c r="K17" i="4"/>
  <c r="X17" i="4" s="1"/>
  <c r="J17" i="4"/>
  <c r="W17" i="4" s="1"/>
  <c r="I17" i="4"/>
  <c r="H17" i="4"/>
  <c r="U17" i="4" s="1"/>
  <c r="G17" i="4"/>
  <c r="T17" i="4" s="1"/>
  <c r="F17" i="4"/>
  <c r="S17" i="4" s="1"/>
  <c r="E17" i="4"/>
  <c r="AC16" i="4"/>
  <c r="U16" i="4"/>
  <c r="L16" i="4"/>
  <c r="Y16" i="4" s="1"/>
  <c r="K16" i="4"/>
  <c r="J16" i="4"/>
  <c r="I16" i="4"/>
  <c r="H16" i="4"/>
  <c r="G16" i="4"/>
  <c r="F16" i="4"/>
  <c r="E16" i="4"/>
  <c r="AC15" i="4"/>
  <c r="U15" i="4"/>
  <c r="L15" i="4"/>
  <c r="Y15" i="4" s="1"/>
  <c r="K15" i="4"/>
  <c r="X15" i="4" s="1"/>
  <c r="J15" i="4"/>
  <c r="W15" i="4" s="1"/>
  <c r="I15" i="4"/>
  <c r="V15" i="4" s="1"/>
  <c r="H15" i="4"/>
  <c r="G15" i="4"/>
  <c r="T15" i="4" s="1"/>
  <c r="F15" i="4"/>
  <c r="S15" i="4" s="1"/>
  <c r="E15" i="4"/>
  <c r="R15" i="4" s="1"/>
  <c r="AC14" i="4"/>
  <c r="L14" i="4"/>
  <c r="Y14" i="4" s="1"/>
  <c r="K14" i="4"/>
  <c r="X14" i="4" s="1"/>
  <c r="J14" i="4"/>
  <c r="W14" i="4" s="1"/>
  <c r="I14" i="4"/>
  <c r="H14" i="4"/>
  <c r="U14" i="4" s="1"/>
  <c r="G14" i="4"/>
  <c r="T14" i="4" s="1"/>
  <c r="F14" i="4"/>
  <c r="S14" i="4" s="1"/>
  <c r="AC13" i="4"/>
  <c r="L13" i="4"/>
  <c r="Y13" i="4" s="1"/>
  <c r="K13" i="4"/>
  <c r="X13" i="4" s="1"/>
  <c r="J13" i="4"/>
  <c r="W13" i="4" s="1"/>
  <c r="I13" i="4"/>
  <c r="H13" i="4"/>
  <c r="U13" i="4" s="1"/>
  <c r="G13" i="4"/>
  <c r="T13" i="4" s="1"/>
  <c r="F13" i="4"/>
  <c r="S13" i="4" s="1"/>
  <c r="E13" i="4"/>
  <c r="AC12" i="4"/>
  <c r="L12" i="4"/>
  <c r="Y12" i="4" s="1"/>
  <c r="K12" i="4"/>
  <c r="X12" i="4" s="1"/>
  <c r="J12" i="4"/>
  <c r="W12" i="4" s="1"/>
  <c r="I12" i="4"/>
  <c r="H12" i="4"/>
  <c r="U12" i="4" s="1"/>
  <c r="G12" i="4"/>
  <c r="T12" i="4" s="1"/>
  <c r="F12" i="4"/>
  <c r="S12" i="4" s="1"/>
  <c r="E12" i="4"/>
  <c r="AC11" i="4"/>
  <c r="L11" i="4"/>
  <c r="Y11" i="4" s="1"/>
  <c r="K11" i="4"/>
  <c r="X11" i="4" s="1"/>
  <c r="J11" i="4"/>
  <c r="I11" i="4"/>
  <c r="V11" i="4" s="1"/>
  <c r="H11" i="4"/>
  <c r="U11" i="4" s="1"/>
  <c r="G11" i="4"/>
  <c r="T11" i="4" s="1"/>
  <c r="F11" i="4"/>
  <c r="E11" i="4"/>
  <c r="R11" i="4" s="1"/>
  <c r="AC10" i="4"/>
  <c r="L10" i="4"/>
  <c r="K10" i="4"/>
  <c r="X10" i="4" s="1"/>
  <c r="J10" i="4"/>
  <c r="W10" i="4" s="1"/>
  <c r="I10" i="4"/>
  <c r="H10" i="4"/>
  <c r="G10" i="4"/>
  <c r="T10" i="4" s="1"/>
  <c r="F10" i="4"/>
  <c r="S10" i="4" s="1"/>
  <c r="E10" i="4"/>
  <c r="AC9" i="4"/>
  <c r="L9" i="4"/>
  <c r="Y9" i="4" s="1"/>
  <c r="K9" i="4"/>
  <c r="X9" i="4" s="1"/>
  <c r="J9" i="4"/>
  <c r="W9" i="4" s="1"/>
  <c r="I9" i="4"/>
  <c r="H9" i="4"/>
  <c r="U9" i="4" s="1"/>
  <c r="G9" i="4"/>
  <c r="T9" i="4" s="1"/>
  <c r="F9" i="4"/>
  <c r="E9" i="4"/>
  <c r="AC8" i="4"/>
  <c r="L8" i="4"/>
  <c r="Y8" i="4" s="1"/>
  <c r="K8" i="4"/>
  <c r="X8" i="4" s="1"/>
  <c r="J8" i="4"/>
  <c r="W8" i="4" s="1"/>
  <c r="I8" i="4"/>
  <c r="H8" i="4"/>
  <c r="G8" i="4"/>
  <c r="T8" i="4" s="1"/>
  <c r="F8" i="4"/>
  <c r="S8" i="4" s="1"/>
  <c r="E8" i="4"/>
  <c r="AC7" i="4"/>
  <c r="L7" i="4"/>
  <c r="Y7" i="4" s="1"/>
  <c r="K7" i="4"/>
  <c r="X7" i="4" s="1"/>
  <c r="J7" i="4"/>
  <c r="I7" i="4"/>
  <c r="H7" i="4"/>
  <c r="U7" i="4" s="1"/>
  <c r="G7" i="4"/>
  <c r="T7" i="4" s="1"/>
  <c r="F7" i="4"/>
  <c r="E7" i="4"/>
  <c r="AC6" i="4"/>
  <c r="L6" i="4"/>
  <c r="K6" i="4"/>
  <c r="X6" i="4" s="1"/>
  <c r="J6" i="4"/>
  <c r="W6" i="4" s="1"/>
  <c r="I6" i="4"/>
  <c r="V6" i="4" s="1"/>
  <c r="H6" i="4"/>
  <c r="G6" i="4"/>
  <c r="T6" i="4" s="1"/>
  <c r="F6" i="4"/>
  <c r="S6" i="4" s="1"/>
  <c r="E6" i="4"/>
  <c r="R6" i="4" s="1"/>
  <c r="AC5" i="4"/>
  <c r="L5" i="4"/>
  <c r="K5" i="4"/>
  <c r="J5" i="4"/>
  <c r="I5" i="4"/>
  <c r="H5" i="4"/>
  <c r="G5" i="4"/>
  <c r="F5" i="4"/>
  <c r="E5" i="4"/>
  <c r="M16" i="5" l="1"/>
  <c r="R7" i="4"/>
  <c r="R13" i="4"/>
  <c r="Z13" i="4" s="1"/>
  <c r="V13" i="4"/>
  <c r="E14" i="4"/>
  <c r="R20" i="4"/>
  <c r="R21" i="4"/>
  <c r="Z21" i="4" s="1"/>
  <c r="V21" i="4"/>
  <c r="M22" i="4"/>
  <c r="R28" i="4"/>
  <c r="V28" i="4"/>
  <c r="Z28" i="4" s="1"/>
  <c r="R31" i="4"/>
  <c r="V31" i="4"/>
  <c r="V32" i="4"/>
  <c r="V33" i="4"/>
  <c r="V10" i="4"/>
  <c r="R16" i="4"/>
  <c r="Z16" i="4" s="1"/>
  <c r="V16" i="4"/>
  <c r="R19" i="4"/>
  <c r="V19" i="4"/>
  <c r="R24" i="4"/>
  <c r="V24" i="4"/>
  <c r="R30" i="4"/>
  <c r="R32" i="4"/>
  <c r="R37" i="4"/>
  <c r="Z37" i="4" s="1"/>
  <c r="Z95" i="5"/>
  <c r="Z107" i="5"/>
  <c r="Z127" i="5"/>
  <c r="V131" i="5"/>
  <c r="R8" i="4"/>
  <c r="Z8" i="4" s="1"/>
  <c r="V8" i="4"/>
  <c r="R9" i="4"/>
  <c r="V9" i="4"/>
  <c r="R12" i="4"/>
  <c r="Z12" i="4" s="1"/>
  <c r="V12" i="4"/>
  <c r="R17" i="4"/>
  <c r="V17" i="4"/>
  <c r="V20" i="4"/>
  <c r="Z20" i="4" s="1"/>
  <c r="R34" i="4"/>
  <c r="V34" i="4"/>
  <c r="R38" i="4"/>
  <c r="M85" i="5"/>
  <c r="N81" i="5" s="1"/>
  <c r="Y129" i="5"/>
  <c r="Y131" i="5" s="1"/>
  <c r="Z98" i="5"/>
  <c r="Z110" i="5"/>
  <c r="Z120" i="5"/>
  <c r="Z124" i="5"/>
  <c r="E42" i="4"/>
  <c r="M14" i="4"/>
  <c r="M18" i="4"/>
  <c r="Z92" i="5"/>
  <c r="Z103" i="5"/>
  <c r="Z112" i="5"/>
  <c r="Z115" i="5"/>
  <c r="Z122" i="5"/>
  <c r="M10" i="4"/>
  <c r="R10" i="4"/>
  <c r="M89" i="4"/>
  <c r="U8" i="4"/>
  <c r="N49" i="5"/>
  <c r="Z94" i="5"/>
  <c r="Z100" i="5"/>
  <c r="Z108" i="5"/>
  <c r="Z111" i="5"/>
  <c r="Z114" i="5"/>
  <c r="Z119" i="5"/>
  <c r="Z128" i="5"/>
  <c r="T131" i="5"/>
  <c r="T130" i="5"/>
  <c r="X131" i="5"/>
  <c r="AB89" i="4"/>
  <c r="AC61" i="4" s="1"/>
  <c r="AC52" i="4"/>
  <c r="R14" i="4"/>
  <c r="I41" i="5"/>
  <c r="R18" i="4"/>
  <c r="V18" i="4"/>
  <c r="M18" i="5"/>
  <c r="M19" i="5"/>
  <c r="M20" i="5"/>
  <c r="R22" i="4"/>
  <c r="M22" i="5"/>
  <c r="M23" i="5"/>
  <c r="M24" i="5"/>
  <c r="M25" i="5"/>
  <c r="M26" i="5"/>
  <c r="M27" i="5"/>
  <c r="M29" i="5"/>
  <c r="M31" i="5"/>
  <c r="M32" i="5"/>
  <c r="M33" i="5"/>
  <c r="M34" i="5"/>
  <c r="M37" i="5"/>
  <c r="M39" i="5"/>
  <c r="M40" i="5"/>
  <c r="Z102" i="5"/>
  <c r="Z116" i="5"/>
  <c r="Q131" i="5"/>
  <c r="U131" i="5"/>
  <c r="I218" i="5"/>
  <c r="I42" i="4"/>
  <c r="AC64" i="4"/>
  <c r="M218" i="4"/>
  <c r="N190" i="4" s="1"/>
  <c r="S9" i="4"/>
  <c r="N55" i="5"/>
  <c r="Z96" i="5"/>
  <c r="Z99" i="5"/>
  <c r="Z104" i="5"/>
  <c r="Z106" i="5"/>
  <c r="Z118" i="5"/>
  <c r="Z123" i="5"/>
  <c r="Z126" i="5"/>
  <c r="S16" i="4"/>
  <c r="W16" i="4"/>
  <c r="W20" i="4"/>
  <c r="S24" i="4"/>
  <c r="R25" i="4"/>
  <c r="V25" i="4"/>
  <c r="R26" i="4"/>
  <c r="Z26" i="4" s="1"/>
  <c r="V26" i="4"/>
  <c r="R27" i="4"/>
  <c r="V27" i="4"/>
  <c r="W28" i="4"/>
  <c r="R29" i="4"/>
  <c r="Y30" i="4"/>
  <c r="U31" i="4"/>
  <c r="Y31" i="4"/>
  <c r="U32" i="4"/>
  <c r="Y32" i="4"/>
  <c r="W33" i="4"/>
  <c r="S34" i="4"/>
  <c r="Z34" i="4" s="1"/>
  <c r="W34" i="4"/>
  <c r="W35" i="4"/>
  <c r="R39" i="4"/>
  <c r="V39" i="4"/>
  <c r="Z39" i="4" s="1"/>
  <c r="M40" i="4"/>
  <c r="V40" i="4"/>
  <c r="R40" i="4"/>
  <c r="Y41" i="4"/>
  <c r="Z41" i="4" s="1"/>
  <c r="N198" i="4"/>
  <c r="T16" i="4"/>
  <c r="X16" i="4"/>
  <c r="T20" i="4"/>
  <c r="X20" i="4"/>
  <c r="T31" i="4"/>
  <c r="X31" i="4"/>
  <c r="Z31" i="4" s="1"/>
  <c r="X39" i="4"/>
  <c r="M129" i="5"/>
  <c r="L131" i="5" s="1"/>
  <c r="M13" i="5"/>
  <c r="M17" i="5"/>
  <c r="M21" i="5"/>
  <c r="S5" i="4"/>
  <c r="S7" i="4"/>
  <c r="W7" i="4"/>
  <c r="S11" i="4"/>
  <c r="W11" i="4"/>
  <c r="V14" i="4"/>
  <c r="Z14" i="4" s="1"/>
  <c r="G41" i="5"/>
  <c r="K41" i="5"/>
  <c r="M28" i="5"/>
  <c r="M36" i="5"/>
  <c r="N80" i="5"/>
  <c r="N72" i="5"/>
  <c r="N64" i="5"/>
  <c r="N56" i="5"/>
  <c r="N48" i="5"/>
  <c r="N69" i="5"/>
  <c r="E131" i="5"/>
  <c r="N125" i="5"/>
  <c r="N121" i="5"/>
  <c r="N117" i="5"/>
  <c r="N113" i="5"/>
  <c r="N109" i="5"/>
  <c r="N105" i="5"/>
  <c r="N101" i="5"/>
  <c r="N97" i="5"/>
  <c r="N93" i="5"/>
  <c r="G131" i="5"/>
  <c r="M173" i="5"/>
  <c r="N147" i="5" s="1"/>
  <c r="N164" i="5"/>
  <c r="M35" i="5"/>
  <c r="N143" i="5"/>
  <c r="W5" i="4"/>
  <c r="U10" i="4"/>
  <c r="Y10" i="4"/>
  <c r="T24" i="4"/>
  <c r="X24" i="4"/>
  <c r="V36" i="4"/>
  <c r="H41" i="5"/>
  <c r="L41" i="5"/>
  <c r="M30" i="5"/>
  <c r="M38" i="5"/>
  <c r="N59" i="5"/>
  <c r="G87" i="5"/>
  <c r="Z93" i="5"/>
  <c r="Z97" i="5"/>
  <c r="Z101" i="5"/>
  <c r="Z105" i="5"/>
  <c r="Z109" i="5"/>
  <c r="Z113" i="5"/>
  <c r="Z117" i="5"/>
  <c r="Z121" i="5"/>
  <c r="Z125" i="5"/>
  <c r="S131" i="5"/>
  <c r="W131" i="5"/>
  <c r="N137" i="5"/>
  <c r="N149" i="5"/>
  <c r="N153" i="5"/>
  <c r="N165" i="5"/>
  <c r="N169" i="5"/>
  <c r="U6" i="4"/>
  <c r="Y6" i="4"/>
  <c r="V22" i="4"/>
  <c r="M4" i="5"/>
  <c r="H130" i="5"/>
  <c r="N146" i="5"/>
  <c r="N150" i="5"/>
  <c r="N162" i="5"/>
  <c r="N166" i="5"/>
  <c r="M217" i="5"/>
  <c r="N189" i="5" s="1"/>
  <c r="N192" i="5"/>
  <c r="N208" i="5"/>
  <c r="L219" i="5"/>
  <c r="H86" i="5"/>
  <c r="Z25" i="4"/>
  <c r="Z27" i="4"/>
  <c r="Z40" i="4"/>
  <c r="Z15" i="4"/>
  <c r="Z19" i="4"/>
  <c r="Z23" i="4"/>
  <c r="Z29" i="4"/>
  <c r="Z38" i="4"/>
  <c r="Z18" i="4"/>
  <c r="E47" i="4"/>
  <c r="M46" i="4"/>
  <c r="Z46" i="4" s="1"/>
  <c r="R5" i="4"/>
  <c r="Z9" i="4"/>
  <c r="M9" i="4"/>
  <c r="M13" i="4"/>
  <c r="Z17" i="4"/>
  <c r="M17" i="4"/>
  <c r="M21" i="4"/>
  <c r="M23" i="4"/>
  <c r="M34" i="4"/>
  <c r="I47" i="4"/>
  <c r="M5" i="4"/>
  <c r="V5" i="4"/>
  <c r="G42" i="4"/>
  <c r="K42" i="4"/>
  <c r="X5" i="4"/>
  <c r="M6" i="4"/>
  <c r="M8" i="4"/>
  <c r="M12" i="4"/>
  <c r="M16" i="4"/>
  <c r="M20" i="4"/>
  <c r="Z22" i="4"/>
  <c r="H42" i="4"/>
  <c r="U5" i="4"/>
  <c r="U42" i="4" s="1"/>
  <c r="L42" i="4"/>
  <c r="Y5" i="4"/>
  <c r="T5" i="4"/>
  <c r="M7" i="4"/>
  <c r="M11" i="4"/>
  <c r="M15" i="4"/>
  <c r="M19" i="4"/>
  <c r="M25" i="4"/>
  <c r="M27" i="4"/>
  <c r="M28" i="4"/>
  <c r="M91" i="4"/>
  <c r="G91" i="4"/>
  <c r="K91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E132" i="4"/>
  <c r="M103" i="4"/>
  <c r="N133" i="4"/>
  <c r="J42" i="4"/>
  <c r="M29" i="4"/>
  <c r="Z30" i="4"/>
  <c r="F91" i="4"/>
  <c r="H132" i="4"/>
  <c r="M24" i="4"/>
  <c r="M26" i="4"/>
  <c r="Z35" i="4"/>
  <c r="M35" i="4"/>
  <c r="M38" i="4"/>
  <c r="H91" i="4"/>
  <c r="H90" i="4"/>
  <c r="L91" i="4"/>
  <c r="J91" i="4"/>
  <c r="F36" i="4"/>
  <c r="S36" i="4" s="1"/>
  <c r="M126" i="4"/>
  <c r="M30" i="4"/>
  <c r="N206" i="4"/>
  <c r="F132" i="4"/>
  <c r="M110" i="4"/>
  <c r="M123" i="4"/>
  <c r="F33" i="4"/>
  <c r="S33" i="4" s="1"/>
  <c r="M220" i="4"/>
  <c r="N215" i="4"/>
  <c r="N207" i="4"/>
  <c r="N199" i="4"/>
  <c r="N191" i="4"/>
  <c r="N183" i="4"/>
  <c r="N217" i="4"/>
  <c r="N209" i="4"/>
  <c r="N201" i="4"/>
  <c r="N193" i="4"/>
  <c r="N185" i="4"/>
  <c r="N213" i="4"/>
  <c r="N205" i="4"/>
  <c r="N197" i="4"/>
  <c r="N189" i="4"/>
  <c r="N181" i="4"/>
  <c r="N203" i="4"/>
  <c r="N214" i="4"/>
  <c r="M31" i="4"/>
  <c r="E91" i="4"/>
  <c r="I91" i="4"/>
  <c r="N184" i="4"/>
  <c r="N192" i="4"/>
  <c r="N200" i="4"/>
  <c r="N208" i="4"/>
  <c r="N216" i="4"/>
  <c r="F220" i="4"/>
  <c r="J220" i="4"/>
  <c r="M37" i="4"/>
  <c r="M39" i="4"/>
  <c r="M41" i="4"/>
  <c r="N176" i="4"/>
  <c r="F175" i="4"/>
  <c r="F32" i="4"/>
  <c r="F42" i="4" s="1"/>
  <c r="M165" i="4"/>
  <c r="M175" i="4" s="1"/>
  <c r="N188" i="4"/>
  <c r="N196" i="4"/>
  <c r="N204" i="4"/>
  <c r="N212" i="4"/>
  <c r="H220" i="4"/>
  <c r="I219" i="4"/>
  <c r="L220" i="4"/>
  <c r="N186" i="4"/>
  <c r="N194" i="4"/>
  <c r="N202" i="4"/>
  <c r="N210" i="4"/>
  <c r="E220" i="4"/>
  <c r="I220" i="4"/>
  <c r="N182" i="4"/>
  <c r="L38" i="3"/>
  <c r="H38" i="3"/>
  <c r="G38" i="3"/>
  <c r="F38" i="3"/>
  <c r="I62" i="1"/>
  <c r="H62" i="1"/>
  <c r="G62" i="1"/>
  <c r="F64" i="1"/>
  <c r="F63" i="1"/>
  <c r="F62" i="1"/>
  <c r="L36" i="3"/>
  <c r="L35" i="3"/>
  <c r="L34" i="3"/>
  <c r="L33" i="3"/>
  <c r="L32" i="3"/>
  <c r="L31" i="3"/>
  <c r="L30" i="3"/>
  <c r="L29" i="3"/>
  <c r="L28" i="3"/>
  <c r="L27" i="3" s="1"/>
  <c r="F28" i="3"/>
  <c r="F27" i="3" s="1"/>
  <c r="G28" i="3"/>
  <c r="G27" i="3" s="1"/>
  <c r="H28" i="3"/>
  <c r="H27" i="3" s="1"/>
  <c r="I28" i="3"/>
  <c r="I27" i="3" s="1"/>
  <c r="F29" i="3"/>
  <c r="G29" i="3"/>
  <c r="H29" i="3"/>
  <c r="I29" i="3"/>
  <c r="F30" i="3"/>
  <c r="G30" i="3"/>
  <c r="H30" i="3"/>
  <c r="I30" i="3"/>
  <c r="F31" i="3"/>
  <c r="G31" i="3"/>
  <c r="H31" i="3"/>
  <c r="I31" i="3"/>
  <c r="F32" i="3"/>
  <c r="G32" i="3"/>
  <c r="H32" i="3"/>
  <c r="I32" i="3"/>
  <c r="F34" i="3"/>
  <c r="F33" i="3" s="1"/>
  <c r="G34" i="3"/>
  <c r="G33" i="3" s="1"/>
  <c r="H34" i="3"/>
  <c r="H33" i="3" s="1"/>
  <c r="I34" i="3"/>
  <c r="I33" i="3" s="1"/>
  <c r="F35" i="3"/>
  <c r="G35" i="3"/>
  <c r="H35" i="3"/>
  <c r="I35" i="3"/>
  <c r="F36" i="3"/>
  <c r="G36" i="3"/>
  <c r="H36" i="3"/>
  <c r="I36" i="3"/>
  <c r="I60" i="1"/>
  <c r="I59" i="1"/>
  <c r="I58" i="1"/>
  <c r="I57" i="1" s="1"/>
  <c r="I56" i="1"/>
  <c r="I55" i="1"/>
  <c r="I54" i="1"/>
  <c r="I53" i="1"/>
  <c r="I52" i="1"/>
  <c r="I51" i="1" s="1"/>
  <c r="H60" i="1"/>
  <c r="H59" i="1"/>
  <c r="H58" i="1"/>
  <c r="H57" i="1" s="1"/>
  <c r="H56" i="1"/>
  <c r="H55" i="1"/>
  <c r="H54" i="1"/>
  <c r="H52" i="1"/>
  <c r="H51" i="1" s="1"/>
  <c r="G60" i="1"/>
  <c r="G59" i="1"/>
  <c r="G58" i="1"/>
  <c r="G57" i="1" s="1"/>
  <c r="G56" i="1"/>
  <c r="G55" i="1"/>
  <c r="G54" i="1"/>
  <c r="G53" i="1"/>
  <c r="G52" i="1"/>
  <c r="G51" i="1" s="1"/>
  <c r="F60" i="1"/>
  <c r="F59" i="1"/>
  <c r="F58" i="1"/>
  <c r="F57" i="1" s="1"/>
  <c r="F54" i="1"/>
  <c r="F56" i="1"/>
  <c r="F55" i="1"/>
  <c r="F53" i="1"/>
  <c r="F52" i="1"/>
  <c r="F51" i="1" s="1"/>
  <c r="R42" i="4" l="1"/>
  <c r="H131" i="5"/>
  <c r="N83" i="5"/>
  <c r="N51" i="5"/>
  <c r="N85" i="5" s="1"/>
  <c r="J131" i="5"/>
  <c r="N94" i="5"/>
  <c r="N98" i="5"/>
  <c r="N102" i="5"/>
  <c r="N106" i="5"/>
  <c r="N110" i="5"/>
  <c r="N114" i="5"/>
  <c r="N118" i="5"/>
  <c r="N122" i="5"/>
  <c r="N126" i="5"/>
  <c r="I131" i="5"/>
  <c r="N61" i="5"/>
  <c r="N50" i="5"/>
  <c r="N58" i="5"/>
  <c r="N66" i="5"/>
  <c r="N74" i="5"/>
  <c r="N82" i="5"/>
  <c r="L87" i="5"/>
  <c r="N79" i="5"/>
  <c r="Z33" i="4"/>
  <c r="T42" i="4"/>
  <c r="N75" i="5"/>
  <c r="F131" i="5"/>
  <c r="N95" i="5"/>
  <c r="N129" i="5" s="1"/>
  <c r="N99" i="5"/>
  <c r="N103" i="5"/>
  <c r="N107" i="5"/>
  <c r="N111" i="5"/>
  <c r="N115" i="5"/>
  <c r="N119" i="5"/>
  <c r="N123" i="5"/>
  <c r="N127" i="5"/>
  <c r="M131" i="5"/>
  <c r="N53" i="5"/>
  <c r="N52" i="5"/>
  <c r="N60" i="5"/>
  <c r="N68" i="5"/>
  <c r="N76" i="5"/>
  <c r="N84" i="5"/>
  <c r="H87" i="5"/>
  <c r="I87" i="5"/>
  <c r="AC84" i="4"/>
  <c r="F87" i="5"/>
  <c r="N73" i="5"/>
  <c r="N63" i="5"/>
  <c r="M36" i="4"/>
  <c r="K131" i="5"/>
  <c r="K87" i="5"/>
  <c r="N67" i="5"/>
  <c r="N92" i="5"/>
  <c r="N96" i="5"/>
  <c r="N100" i="5"/>
  <c r="N104" i="5"/>
  <c r="N108" i="5"/>
  <c r="N112" i="5"/>
  <c r="N116" i="5"/>
  <c r="N120" i="5"/>
  <c r="N124" i="5"/>
  <c r="N128" i="5"/>
  <c r="N77" i="5"/>
  <c r="M87" i="5"/>
  <c r="N54" i="5"/>
  <c r="N62" i="5"/>
  <c r="N70" i="5"/>
  <c r="N78" i="5"/>
  <c r="E87" i="5"/>
  <c r="AC80" i="4"/>
  <c r="N71" i="5"/>
  <c r="AC68" i="4"/>
  <c r="N65" i="5"/>
  <c r="R131" i="5"/>
  <c r="J87" i="5"/>
  <c r="N57" i="5"/>
  <c r="N151" i="4"/>
  <c r="K177" i="4"/>
  <c r="N161" i="4"/>
  <c r="N141" i="4"/>
  <c r="J177" i="4"/>
  <c r="N149" i="4"/>
  <c r="N170" i="4"/>
  <c r="H177" i="4"/>
  <c r="N147" i="4"/>
  <c r="N153" i="4"/>
  <c r="F177" i="4"/>
  <c r="N207" i="5"/>
  <c r="N187" i="5"/>
  <c r="N209" i="5"/>
  <c r="N202" i="5"/>
  <c r="N163" i="5"/>
  <c r="N195" i="4"/>
  <c r="N211" i="4"/>
  <c r="N187" i="4"/>
  <c r="AC74" i="4"/>
  <c r="AC77" i="4"/>
  <c r="H219" i="5"/>
  <c r="N204" i="5"/>
  <c r="N188" i="5"/>
  <c r="N203" i="5"/>
  <c r="N183" i="5"/>
  <c r="Z10" i="4"/>
  <c r="N201" i="5"/>
  <c r="N198" i="5"/>
  <c r="N160" i="5"/>
  <c r="W42" i="4"/>
  <c r="W47" i="4" s="1"/>
  <c r="AC88" i="4"/>
  <c r="AC70" i="4"/>
  <c r="AC73" i="4"/>
  <c r="N216" i="5"/>
  <c r="N200" i="5"/>
  <c r="N184" i="5"/>
  <c r="N199" i="5"/>
  <c r="K175" i="5"/>
  <c r="F219" i="5"/>
  <c r="N186" i="5"/>
  <c r="N148" i="5"/>
  <c r="N197" i="5"/>
  <c r="K220" i="4"/>
  <c r="AC72" i="4"/>
  <c r="AC76" i="4"/>
  <c r="AC58" i="4"/>
  <c r="N212" i="5"/>
  <c r="N196" i="5"/>
  <c r="N180" i="5"/>
  <c r="N215" i="5"/>
  <c r="N191" i="5"/>
  <c r="Z24" i="4"/>
  <c r="N171" i="5"/>
  <c r="N214" i="5"/>
  <c r="N182" i="5"/>
  <c r="N144" i="5"/>
  <c r="G220" i="4"/>
  <c r="AC87" i="4"/>
  <c r="AC71" i="4"/>
  <c r="AC55" i="4"/>
  <c r="AC81" i="4"/>
  <c r="AC78" i="4"/>
  <c r="AC75" i="4"/>
  <c r="AC65" i="4"/>
  <c r="AC62" i="4"/>
  <c r="AC59" i="4"/>
  <c r="AC85" i="4"/>
  <c r="AC82" i="4"/>
  <c r="AC79" i="4"/>
  <c r="AC69" i="4"/>
  <c r="AC66" i="4"/>
  <c r="AC63" i="4"/>
  <c r="AC53" i="4"/>
  <c r="AC83" i="4"/>
  <c r="AC67" i="4"/>
  <c r="AC56" i="4"/>
  <c r="AC60" i="4"/>
  <c r="AC86" i="4"/>
  <c r="AC54" i="4"/>
  <c r="AC57" i="4"/>
  <c r="Z11" i="4"/>
  <c r="Z6" i="4"/>
  <c r="Y42" i="4"/>
  <c r="Y47" i="4" s="1"/>
  <c r="Z7" i="4"/>
  <c r="M219" i="5"/>
  <c r="K219" i="5"/>
  <c r="N158" i="5"/>
  <c r="N142" i="5"/>
  <c r="N211" i="5"/>
  <c r="N195" i="5"/>
  <c r="I175" i="5"/>
  <c r="N161" i="5"/>
  <c r="N145" i="5"/>
  <c r="I219" i="5"/>
  <c r="N193" i="5"/>
  <c r="N159" i="5"/>
  <c r="N210" i="5"/>
  <c r="N194" i="5"/>
  <c r="N172" i="5"/>
  <c r="N156" i="5"/>
  <c r="N140" i="5"/>
  <c r="N213" i="5"/>
  <c r="N181" i="5"/>
  <c r="N155" i="5"/>
  <c r="N4" i="5"/>
  <c r="M41" i="5"/>
  <c r="L43" i="5" s="1"/>
  <c r="N30" i="5"/>
  <c r="Z36" i="4"/>
  <c r="V42" i="4"/>
  <c r="V47" i="4" s="1"/>
  <c r="N170" i="5"/>
  <c r="N154" i="5"/>
  <c r="N138" i="5"/>
  <c r="E175" i="5"/>
  <c r="N157" i="5"/>
  <c r="N141" i="5"/>
  <c r="H43" i="5"/>
  <c r="H42" i="5"/>
  <c r="E219" i="5"/>
  <c r="N185" i="5"/>
  <c r="N151" i="5"/>
  <c r="J219" i="5"/>
  <c r="N206" i="5"/>
  <c r="N190" i="5"/>
  <c r="N168" i="5"/>
  <c r="N152" i="5"/>
  <c r="N136" i="5"/>
  <c r="N205" i="5"/>
  <c r="G175" i="5"/>
  <c r="N17" i="5"/>
  <c r="G219" i="5"/>
  <c r="X42" i="4"/>
  <c r="Z129" i="5"/>
  <c r="N38" i="5"/>
  <c r="L175" i="5"/>
  <c r="H175" i="5"/>
  <c r="M175" i="5"/>
  <c r="J175" i="5"/>
  <c r="F175" i="5"/>
  <c r="N36" i="5"/>
  <c r="N167" i="5"/>
  <c r="N139" i="5"/>
  <c r="N13" i="5"/>
  <c r="F47" i="4"/>
  <c r="U47" i="4"/>
  <c r="K47" i="4"/>
  <c r="E177" i="4"/>
  <c r="M33" i="4"/>
  <c r="N155" i="4"/>
  <c r="H43" i="4"/>
  <c r="H47" i="4"/>
  <c r="H53" i="1"/>
  <c r="H176" i="4"/>
  <c r="N145" i="4"/>
  <c r="N166" i="4"/>
  <c r="N159" i="4"/>
  <c r="N89" i="4"/>
  <c r="X47" i="4"/>
  <c r="S32" i="4"/>
  <c r="M32" i="4"/>
  <c r="Z5" i="4"/>
  <c r="N218" i="4"/>
  <c r="N173" i="4"/>
  <c r="N171" i="4"/>
  <c r="N169" i="4"/>
  <c r="N167" i="4"/>
  <c r="M177" i="4"/>
  <c r="N162" i="4"/>
  <c r="N154" i="4"/>
  <c r="N146" i="4"/>
  <c r="N138" i="4"/>
  <c r="N158" i="4"/>
  <c r="N150" i="4"/>
  <c r="N142" i="4"/>
  <c r="N172" i="4"/>
  <c r="N156" i="4"/>
  <c r="N140" i="4"/>
  <c r="N168" i="4"/>
  <c r="N152" i="4"/>
  <c r="G177" i="4"/>
  <c r="N148" i="4"/>
  <c r="N144" i="4"/>
  <c r="N164" i="4"/>
  <c r="N160" i="4"/>
  <c r="J47" i="4"/>
  <c r="T47" i="4"/>
  <c r="G47" i="4"/>
  <c r="R47" i="4"/>
  <c r="L177" i="4"/>
  <c r="N165" i="4"/>
  <c r="N157" i="4"/>
  <c r="I177" i="4"/>
  <c r="N163" i="4"/>
  <c r="N143" i="4"/>
  <c r="M132" i="4"/>
  <c r="N126" i="4" s="1"/>
  <c r="N174" i="4"/>
  <c r="H133" i="4"/>
  <c r="L47" i="4"/>
  <c r="N139" i="4"/>
  <c r="J58" i="1"/>
  <c r="N34" i="3"/>
  <c r="J34" i="3"/>
  <c r="N123" i="4" l="1"/>
  <c r="N217" i="5"/>
  <c r="N103" i="4"/>
  <c r="AC89" i="4"/>
  <c r="M42" i="4"/>
  <c r="M43" i="5"/>
  <c r="N6" i="5"/>
  <c r="N16" i="5"/>
  <c r="N23" i="5"/>
  <c r="N33" i="5"/>
  <c r="J43" i="5"/>
  <c r="N10" i="5"/>
  <c r="N5" i="5"/>
  <c r="N24" i="5"/>
  <c r="N8" i="5"/>
  <c r="N18" i="5"/>
  <c r="N25" i="5"/>
  <c r="N37" i="5"/>
  <c r="N12" i="5"/>
  <c r="N9" i="5"/>
  <c r="N32" i="5"/>
  <c r="N22" i="5"/>
  <c r="N29" i="5"/>
  <c r="F43" i="5"/>
  <c r="N7" i="5"/>
  <c r="N20" i="5"/>
  <c r="N31" i="5"/>
  <c r="N11" i="5"/>
  <c r="N19" i="5"/>
  <c r="N27" i="5"/>
  <c r="N39" i="5"/>
  <c r="E43" i="5"/>
  <c r="N14" i="5"/>
  <c r="N15" i="5"/>
  <c r="N26" i="5"/>
  <c r="N40" i="5"/>
  <c r="I43" i="5"/>
  <c r="N34" i="5"/>
  <c r="N173" i="5"/>
  <c r="G43" i="5"/>
  <c r="N28" i="5"/>
  <c r="N21" i="5"/>
  <c r="K43" i="5"/>
  <c r="N35" i="5"/>
  <c r="M47" i="4"/>
  <c r="M44" i="4"/>
  <c r="N14" i="4"/>
  <c r="N10" i="4"/>
  <c r="N40" i="4"/>
  <c r="N22" i="4"/>
  <c r="N18" i="4"/>
  <c r="I44" i="4"/>
  <c r="E44" i="4"/>
  <c r="F44" i="4"/>
  <c r="N19" i="4"/>
  <c r="N12" i="4"/>
  <c r="N30" i="4"/>
  <c r="N17" i="4"/>
  <c r="N28" i="4"/>
  <c r="N34" i="4"/>
  <c r="J44" i="4"/>
  <c r="G44" i="4"/>
  <c r="N41" i="4"/>
  <c r="N24" i="4"/>
  <c r="N11" i="4"/>
  <c r="N8" i="4"/>
  <c r="N7" i="4"/>
  <c r="N26" i="4"/>
  <c r="N29" i="4"/>
  <c r="N20" i="4"/>
  <c r="N23" i="4"/>
  <c r="N21" i="4"/>
  <c r="N31" i="4"/>
  <c r="N6" i="4"/>
  <c r="N37" i="4"/>
  <c r="N9" i="4"/>
  <c r="N36" i="4"/>
  <c r="N25" i="4"/>
  <c r="N13" i="4"/>
  <c r="N39" i="4"/>
  <c r="H44" i="4"/>
  <c r="N38" i="4"/>
  <c r="N27" i="4"/>
  <c r="N5" i="4"/>
  <c r="L44" i="4"/>
  <c r="K44" i="4"/>
  <c r="N15" i="4"/>
  <c r="N35" i="4"/>
  <c r="N16" i="4"/>
  <c r="S42" i="4"/>
  <c r="Z32" i="4"/>
  <c r="Z42" i="4" s="1"/>
  <c r="AA5" i="4" s="1"/>
  <c r="E134" i="4"/>
  <c r="F134" i="4"/>
  <c r="H134" i="4"/>
  <c r="N32" i="4"/>
  <c r="N130" i="4"/>
  <c r="N128" i="4"/>
  <c r="N116" i="4"/>
  <c r="N114" i="4"/>
  <c r="N112" i="4"/>
  <c r="N102" i="4"/>
  <c r="N100" i="4"/>
  <c r="N98" i="4"/>
  <c r="N96" i="4"/>
  <c r="M134" i="4"/>
  <c r="N122" i="4"/>
  <c r="N109" i="4"/>
  <c r="N125" i="4"/>
  <c r="N118" i="4"/>
  <c r="N105" i="4"/>
  <c r="N131" i="4"/>
  <c r="N104" i="4"/>
  <c r="G134" i="4"/>
  <c r="N127" i="4"/>
  <c r="N115" i="4"/>
  <c r="N101" i="4"/>
  <c r="N120" i="4"/>
  <c r="N97" i="4"/>
  <c r="N111" i="4"/>
  <c r="N107" i="4"/>
  <c r="K134" i="4"/>
  <c r="N113" i="4"/>
  <c r="J134" i="4"/>
  <c r="N129" i="4"/>
  <c r="L134" i="4"/>
  <c r="N95" i="4"/>
  <c r="N99" i="4"/>
  <c r="N108" i="4"/>
  <c r="N124" i="4"/>
  <c r="N106" i="4"/>
  <c r="N121" i="4"/>
  <c r="N117" i="4"/>
  <c r="N119" i="4"/>
  <c r="I134" i="4"/>
  <c r="N175" i="4"/>
  <c r="N110" i="4"/>
  <c r="N33" i="4"/>
  <c r="L58" i="1"/>
  <c r="J28" i="3"/>
  <c r="J52" i="1"/>
  <c r="N132" i="4" l="1"/>
  <c r="N41" i="5"/>
  <c r="N42" i="4"/>
  <c r="Z44" i="4"/>
  <c r="Z47" i="4"/>
  <c r="AA18" i="4"/>
  <c r="AA40" i="4"/>
  <c r="AA15" i="4"/>
  <c r="AA14" i="4"/>
  <c r="AA34" i="4"/>
  <c r="AA25" i="4"/>
  <c r="AA7" i="4"/>
  <c r="AA10" i="4"/>
  <c r="AA19" i="4"/>
  <c r="AA41" i="4"/>
  <c r="AA23" i="4"/>
  <c r="AA27" i="4"/>
  <c r="AA11" i="4"/>
  <c r="AA29" i="4"/>
  <c r="AA38" i="4"/>
  <c r="AA39" i="4"/>
  <c r="AA31" i="4"/>
  <c r="AA37" i="4"/>
  <c r="AA12" i="4"/>
  <c r="AA8" i="4"/>
  <c r="AA6" i="4"/>
  <c r="AA17" i="4"/>
  <c r="AA35" i="4"/>
  <c r="R44" i="4"/>
  <c r="V44" i="4"/>
  <c r="AA28" i="4"/>
  <c r="AA13" i="4"/>
  <c r="AA26" i="4"/>
  <c r="AA20" i="4"/>
  <c r="AA30" i="4"/>
  <c r="Y44" i="4"/>
  <c r="AA9" i="4"/>
  <c r="U44" i="4"/>
  <c r="W44" i="4"/>
  <c r="AA21" i="4"/>
  <c r="AA22" i="4"/>
  <c r="X44" i="4"/>
  <c r="T44" i="4"/>
  <c r="AA36" i="4"/>
  <c r="AA24" i="4"/>
  <c r="AA16" i="4"/>
  <c r="AA33" i="4"/>
  <c r="AA32" i="4"/>
  <c r="S44" i="4"/>
  <c r="S47" i="4"/>
  <c r="U43" i="4"/>
  <c r="L52" i="1"/>
  <c r="N28" i="3"/>
  <c r="AA42" i="4" l="1"/>
  <c r="N40" i="3"/>
  <c r="J40" i="3"/>
  <c r="N39" i="3"/>
  <c r="J39" i="3"/>
  <c r="N38" i="3"/>
  <c r="J38" i="3"/>
  <c r="J64" i="1"/>
  <c r="J63" i="1"/>
  <c r="L63" i="1" l="1"/>
  <c r="L64" i="1"/>
  <c r="S66" i="1"/>
  <c r="J62" i="1"/>
  <c r="L62" i="1" s="1"/>
  <c r="D16" i="1" l="1"/>
  <c r="S65" i="1"/>
  <c r="G40" i="1" l="1"/>
  <c r="G34" i="1"/>
  <c r="G31" i="1"/>
  <c r="L23" i="3" l="1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K22" i="3"/>
  <c r="J26" i="1"/>
  <c r="J25" i="1"/>
  <c r="L37" i="3" l="1"/>
  <c r="J27" i="1"/>
  <c r="L22" i="3"/>
  <c r="L41" i="3" l="1"/>
  <c r="J23" i="3"/>
  <c r="I22" i="3"/>
  <c r="H22" i="3"/>
  <c r="G22" i="3"/>
  <c r="F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M28" i="3" l="1"/>
  <c r="M34" i="3"/>
  <c r="M37" i="3"/>
  <c r="L42" i="3"/>
  <c r="M40" i="3"/>
  <c r="M41" i="3"/>
  <c r="M38" i="3"/>
  <c r="M39" i="3"/>
  <c r="M27" i="3"/>
  <c r="M30" i="3"/>
  <c r="M32" i="3"/>
  <c r="M35" i="3"/>
  <c r="M29" i="3"/>
  <c r="M31" i="3"/>
  <c r="M33" i="3"/>
  <c r="M36" i="3"/>
  <c r="H37" i="3"/>
  <c r="H41" i="3" s="1"/>
  <c r="G37" i="3"/>
  <c r="G41" i="3" s="1"/>
  <c r="J29" i="3"/>
  <c r="N29" i="3"/>
  <c r="J30" i="3"/>
  <c r="N30" i="3"/>
  <c r="J35" i="3"/>
  <c r="N35" i="3"/>
  <c r="I37" i="3"/>
  <c r="I41" i="3" s="1"/>
  <c r="J31" i="3"/>
  <c r="N31" i="3"/>
  <c r="J33" i="3"/>
  <c r="N33" i="3"/>
  <c r="J36" i="3"/>
  <c r="N36" i="3"/>
  <c r="F37" i="3"/>
  <c r="J27" i="3"/>
  <c r="N27" i="3"/>
  <c r="J32" i="3"/>
  <c r="N32" i="3"/>
  <c r="J22" i="3"/>
  <c r="I42" i="3" l="1"/>
  <c r="E13" i="1" s="1"/>
  <c r="D13" i="1"/>
  <c r="G42" i="3"/>
  <c r="E11" i="1" s="1"/>
  <c r="D11" i="1"/>
  <c r="H42" i="3"/>
  <c r="E12" i="1" s="1"/>
  <c r="D12" i="1"/>
  <c r="J54" i="1"/>
  <c r="L54" i="1" s="1"/>
  <c r="J59" i="1"/>
  <c r="H61" i="1"/>
  <c r="H65" i="1" s="1"/>
  <c r="D5" i="1" s="1"/>
  <c r="J37" i="3"/>
  <c r="F41" i="3"/>
  <c r="N37" i="3"/>
  <c r="S67" i="1"/>
  <c r="J55" i="1"/>
  <c r="L55" i="1" s="1"/>
  <c r="J60" i="1"/>
  <c r="I61" i="1"/>
  <c r="I65" i="1" s="1"/>
  <c r="D6" i="1" s="1"/>
  <c r="J56" i="1"/>
  <c r="J53" i="1"/>
  <c r="J57" i="1"/>
  <c r="L57" i="1" s="1"/>
  <c r="G61" i="1"/>
  <c r="G65" i="1" s="1"/>
  <c r="D4" i="1" s="1"/>
  <c r="F46" i="1"/>
  <c r="G46" i="1"/>
  <c r="H46" i="1"/>
  <c r="I46" i="1"/>
  <c r="I27" i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J41" i="1"/>
  <c r="L41" i="1" s="1"/>
  <c r="J42" i="1"/>
  <c r="L42" i="1" s="1"/>
  <c r="J43" i="1"/>
  <c r="L43" i="1" s="1"/>
  <c r="J44" i="1"/>
  <c r="L44" i="1" s="1"/>
  <c r="J45" i="1"/>
  <c r="L45" i="1" s="1"/>
  <c r="J47" i="1"/>
  <c r="F42" i="3" l="1"/>
  <c r="E10" i="1" s="1"/>
  <c r="D10" i="1"/>
  <c r="I67" i="1"/>
  <c r="E6" i="1" s="1"/>
  <c r="L56" i="1"/>
  <c r="L59" i="1"/>
  <c r="L53" i="1"/>
  <c r="H67" i="1"/>
  <c r="E5" i="1" s="1"/>
  <c r="G67" i="1"/>
  <c r="E4" i="1" s="1"/>
  <c r="L60" i="1"/>
  <c r="N41" i="3"/>
  <c r="O34" i="3" s="1"/>
  <c r="J41" i="3"/>
  <c r="K34" i="3" s="1"/>
  <c r="J51" i="1"/>
  <c r="F61" i="1"/>
  <c r="L40" i="1"/>
  <c r="J46" i="1"/>
  <c r="K46" i="1" s="1"/>
  <c r="K37" i="3" l="1"/>
  <c r="K28" i="3"/>
  <c r="O37" i="3"/>
  <c r="O28" i="3"/>
  <c r="L51" i="1"/>
  <c r="R66" i="1"/>
  <c r="T66" i="1" s="1"/>
  <c r="K41" i="3"/>
  <c r="K38" i="3"/>
  <c r="K40" i="3"/>
  <c r="K39" i="3"/>
  <c r="K36" i="3"/>
  <c r="K29" i="3"/>
  <c r="K32" i="3"/>
  <c r="K35" i="3"/>
  <c r="K33" i="3"/>
  <c r="K31" i="3"/>
  <c r="K30" i="3"/>
  <c r="K27" i="3"/>
  <c r="N42" i="3"/>
  <c r="O41" i="3"/>
  <c r="O40" i="3"/>
  <c r="O39" i="3"/>
  <c r="O38" i="3"/>
  <c r="O33" i="3"/>
  <c r="O27" i="3"/>
  <c r="O36" i="3"/>
  <c r="O35" i="3"/>
  <c r="O30" i="3"/>
  <c r="O31" i="3"/>
  <c r="O32" i="3"/>
  <c r="O29" i="3"/>
  <c r="J42" i="3"/>
  <c r="F65" i="1"/>
  <c r="D3" i="1" s="1"/>
  <c r="J61" i="1"/>
  <c r="K35" i="1"/>
  <c r="K41" i="1"/>
  <c r="K44" i="1"/>
  <c r="K30" i="1"/>
  <c r="K33" i="1"/>
  <c r="K31" i="1"/>
  <c r="K40" i="1"/>
  <c r="K36" i="1"/>
  <c r="K45" i="1"/>
  <c r="K39" i="1"/>
  <c r="K34" i="1"/>
  <c r="K42" i="1"/>
  <c r="K43" i="1"/>
  <c r="K32" i="1"/>
  <c r="K37" i="1"/>
  <c r="K38" i="1"/>
  <c r="L61" i="1" l="1"/>
  <c r="E14" i="1"/>
  <c r="F67" i="1"/>
  <c r="E3" i="1" s="1"/>
  <c r="J65" i="1"/>
  <c r="K58" i="1" s="1"/>
  <c r="D14" i="1"/>
  <c r="K52" i="1" l="1"/>
  <c r="K65" i="1"/>
  <c r="K63" i="1"/>
  <c r="K64" i="1"/>
  <c r="K62" i="1"/>
  <c r="K56" i="1"/>
  <c r="K59" i="1"/>
  <c r="K57" i="1"/>
  <c r="K53" i="1"/>
  <c r="K54" i="1"/>
  <c r="K60" i="1"/>
  <c r="K55" i="1"/>
  <c r="L65" i="1"/>
  <c r="M58" i="1" s="1"/>
  <c r="K51" i="1"/>
  <c r="K61" i="1"/>
  <c r="F66" i="1"/>
  <c r="J67" i="1"/>
  <c r="L67" i="1" s="1"/>
  <c r="G66" i="1"/>
  <c r="J66" i="1"/>
  <c r="H66" i="1"/>
  <c r="R65" i="1"/>
  <c r="I66" i="1"/>
  <c r="E7" i="1"/>
  <c r="E15" i="1" s="1"/>
  <c r="R51" i="1" l="1"/>
  <c r="R54" i="1"/>
  <c r="R52" i="1"/>
  <c r="M61" i="1"/>
  <c r="M52" i="1"/>
  <c r="D7" i="1"/>
  <c r="C3" i="1" s="1"/>
  <c r="M65" i="1"/>
  <c r="M62" i="1"/>
  <c r="M63" i="1"/>
  <c r="M64" i="1"/>
  <c r="M54" i="1"/>
  <c r="M55" i="1"/>
  <c r="M57" i="1"/>
  <c r="M60" i="1"/>
  <c r="M56" i="1"/>
  <c r="M59" i="1"/>
  <c r="M53" i="1"/>
  <c r="M51" i="1"/>
  <c r="R53" i="1"/>
  <c r="R67" i="1"/>
  <c r="T65" i="1"/>
  <c r="T67" i="1" s="1"/>
  <c r="C6" i="1" l="1"/>
  <c r="C5" i="1"/>
  <c r="C4" i="1"/>
  <c r="D15" i="1"/>
  <c r="D17" i="1" s="1"/>
  <c r="R55" i="1"/>
  <c r="C7" i="1" l="1"/>
</calcChain>
</file>

<file path=xl/comments1.xml><?xml version="1.0" encoding="utf-8"?>
<comments xmlns="http://schemas.openxmlformats.org/spreadsheetml/2006/main">
  <authors>
    <author>Author</author>
  </authors>
  <commentList>
    <comment ref="F2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Data correction exercise 17/12/14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Excludes vol 63, BM</t>
        </r>
      </text>
    </comment>
    <comment ref="G3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8 duplications eliminated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G40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Shows zero if any sources excluded.
</t>
        </r>
      </text>
    </comment>
    <comment ref="J5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383 N9</t>
        </r>
      </text>
    </comment>
    <comment ref="L5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295 N9</t>
        </r>
      </text>
    </comment>
    <comment ref="G6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5 duplications eliminated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Group A moneyers in bold italics</t>
        </r>
      </text>
    </comment>
    <comment ref="R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Group A moneyers in bold italics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PAS - dubious!</t>
        </r>
      </text>
    </comment>
    <comment ref="S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PAS - dubious!</t>
        </r>
      </text>
    </comment>
    <comment ref="O4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AB4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N90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E10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 duplications eliminated</t>
        </r>
      </text>
    </comment>
    <comment ref="E10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E10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F11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H11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2 duplications eliminated</t>
        </r>
      </text>
    </comment>
    <comment ref="F12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I12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F126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N13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F165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 duplication eliminated</t>
        </r>
      </text>
    </comment>
    <comment ref="N17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N21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G15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See Pirie 2000, p. 47, no. 58. EMC 2001.0151 (which erroneously records 'Eanbeald' as moneyer.</t>
        </r>
      </text>
    </comment>
    <comment ref="G1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See CKN21. YM9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G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H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J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K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L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M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O4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N8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I12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Anomalous.
CKN 448. YM407.</t>
        </r>
      </text>
    </comment>
    <comment ref="N13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Z13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N17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  <comment ref="N21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Number of issuer/moneyer combinations, excluding 'blundered'.</t>
        </r>
      </text>
    </comment>
  </commentList>
</comments>
</file>

<file path=xl/sharedStrings.xml><?xml version="1.0" encoding="utf-8"?>
<sst xmlns="http://schemas.openxmlformats.org/spreadsheetml/2006/main" count="1940" uniqueCount="295">
  <si>
    <t>CKN</t>
  </si>
  <si>
    <t>EMC</t>
  </si>
  <si>
    <t>PAS</t>
  </si>
  <si>
    <t>Monarchs/Archbishops</t>
  </si>
  <si>
    <t>Dates</t>
  </si>
  <si>
    <t>810-841 (total reign)</t>
  </si>
  <si>
    <t>usurpation, 843/4</t>
  </si>
  <si>
    <t>849/50-867</t>
  </si>
  <si>
    <t>796-835? (total tenure)</t>
  </si>
  <si>
    <t>837-849/50</t>
  </si>
  <si>
    <t>849/50-900</t>
  </si>
  <si>
    <t>Normalised</t>
  </si>
  <si>
    <t>Aldates</t>
  </si>
  <si>
    <t>Alghere</t>
  </si>
  <si>
    <t>Badigils</t>
  </si>
  <si>
    <t>Brother</t>
  </si>
  <si>
    <t>Coenred</t>
  </si>
  <si>
    <t>Cuthberht</t>
  </si>
  <si>
    <t>Cuthheard</t>
  </si>
  <si>
    <t>Cynemund</t>
  </si>
  <si>
    <t>Cynewulf</t>
  </si>
  <si>
    <t>Dægberht</t>
  </si>
  <si>
    <t>Eadwine</t>
  </si>
  <si>
    <t>Eadwulf</t>
  </si>
  <si>
    <t>Eanred</t>
  </si>
  <si>
    <t>Eanwulf</t>
  </si>
  <si>
    <t>Æthelhelm</t>
  </si>
  <si>
    <t>Æthelheah</t>
  </si>
  <si>
    <t>Æthelweard</t>
  </si>
  <si>
    <t>Forthred</t>
  </si>
  <si>
    <t>Folcnoth</t>
  </si>
  <si>
    <t>Herreth</t>
  </si>
  <si>
    <t>Hwætnoth</t>
  </si>
  <si>
    <t>Hwætred</t>
  </si>
  <si>
    <t>Hunlaf</t>
  </si>
  <si>
    <t>Leofthegn</t>
  </si>
  <si>
    <t>Monne</t>
  </si>
  <si>
    <t>Odilo</t>
  </si>
  <si>
    <t>Tidwine</t>
  </si>
  <si>
    <t>Tidwulf</t>
  </si>
  <si>
    <t>Wendelberht</t>
  </si>
  <si>
    <t>Wilheah</t>
  </si>
  <si>
    <t>Winiberht</t>
  </si>
  <si>
    <t>Wulfheard</t>
  </si>
  <si>
    <t>Wulfred</t>
  </si>
  <si>
    <t>Wulfsige</t>
  </si>
  <si>
    <t>Wihtred</t>
  </si>
  <si>
    <t>Moneyer</t>
  </si>
  <si>
    <t>1.      ALDATES, (GADUTES)</t>
  </si>
  <si>
    <t>3.      BADIGILS</t>
  </si>
  <si>
    <t>4.      BRODER, BRODR</t>
  </si>
  <si>
    <t>5.      COENRED</t>
  </si>
  <si>
    <t>6.      CVDBEREHT</t>
  </si>
  <si>
    <t xml:space="preserve">7.      CVDHEARD </t>
  </si>
  <si>
    <t>8.      CVNEMVND</t>
  </si>
  <si>
    <t>9.      CYNVVLF</t>
  </si>
  <si>
    <t>10.    DAEGBERCT</t>
  </si>
  <si>
    <t>11.    EADVINI</t>
  </si>
  <si>
    <t>12.    EADVVLF, EODWVLF</t>
  </si>
  <si>
    <t>13.    EANRED</t>
  </si>
  <si>
    <t>14.    EANVVLF</t>
  </si>
  <si>
    <t>16.    EDELHELM</t>
  </si>
  <si>
    <t>17.    EDILECH</t>
  </si>
  <si>
    <t>18.    EDILWEARD</t>
  </si>
  <si>
    <t>19.    FORDRED</t>
  </si>
  <si>
    <t>20.    FVLCNOD</t>
  </si>
  <si>
    <t>22.    HVAETNOD</t>
  </si>
  <si>
    <t>23.    HVAETRED</t>
  </si>
  <si>
    <t>27.    ODILO</t>
  </si>
  <si>
    <t>28.    TIDVINI</t>
  </si>
  <si>
    <t>29.    TIDVLF</t>
  </si>
  <si>
    <t>31.    VILHEAH</t>
  </si>
  <si>
    <t>32.    VINIBERHT</t>
  </si>
  <si>
    <t>33.    VVLFHEARD</t>
  </si>
  <si>
    <t>34.    VVLFRED</t>
  </si>
  <si>
    <t>35.    VVLFSIXT</t>
  </si>
  <si>
    <r>
      <t>Coin-legend</t>
    </r>
    <r>
      <rPr>
        <sz val="12"/>
        <color theme="1"/>
        <rFont val="Times New Roman"/>
        <family val="1"/>
      </rPr>
      <t xml:space="preserve"> (or variant) </t>
    </r>
  </si>
  <si>
    <r>
      <t xml:space="preserve">2.      </t>
    </r>
    <r>
      <rPr>
        <sz val="12"/>
        <color rgb="FF000000"/>
        <rFont val="Times New Roman"/>
        <family val="1"/>
      </rPr>
      <t>ALGHERE</t>
    </r>
  </si>
  <si>
    <r>
      <t xml:space="preserve">15.    </t>
    </r>
    <r>
      <rPr>
        <sz val="12"/>
        <color rgb="FF000000"/>
        <rFont val="Times New Roman"/>
        <family val="1"/>
      </rPr>
      <t>EARDVVLF</t>
    </r>
  </si>
  <si>
    <t>21.    HERREĐ</t>
  </si>
  <si>
    <t>24.    HVNLAF</t>
  </si>
  <si>
    <t>25.    LEOFDEGN</t>
  </si>
  <si>
    <t>26.    MONNE</t>
  </si>
  <si>
    <r>
      <t xml:space="preserve">30.    </t>
    </r>
    <r>
      <rPr>
        <sz val="12"/>
        <color rgb="FF000000"/>
        <rFont val="Times New Roman"/>
        <family val="1"/>
      </rPr>
      <t>VENDELBERHT</t>
    </r>
  </si>
  <si>
    <t>36.    WIHTRED</t>
  </si>
  <si>
    <t>37.    Blundered</t>
  </si>
  <si>
    <t>SCBI</t>
  </si>
  <si>
    <t>Aldfrith</t>
  </si>
  <si>
    <t>Eadberht</t>
  </si>
  <si>
    <t>Alchred</t>
  </si>
  <si>
    <t>Eardwulf,  first reign</t>
  </si>
  <si>
    <t>685-705</t>
  </si>
  <si>
    <t>737-58</t>
  </si>
  <si>
    <t>765-74</t>
  </si>
  <si>
    <t>774-9</t>
  </si>
  <si>
    <t>779/80-788</t>
  </si>
  <si>
    <t>765-6</t>
  </si>
  <si>
    <t>759-65</t>
  </si>
  <si>
    <t>c.779-80</t>
  </si>
  <si>
    <t>790-6</t>
  </si>
  <si>
    <t>790-7</t>
  </si>
  <si>
    <t>790-8</t>
  </si>
  <si>
    <t>790-9</t>
  </si>
  <si>
    <t>790-10</t>
  </si>
  <si>
    <t>796-806</t>
  </si>
  <si>
    <t>Ceolbald</t>
  </si>
  <si>
    <t>Cudheard</t>
  </si>
  <si>
    <t>Hnifula</t>
  </si>
  <si>
    <t>Cudcils</t>
  </si>
  <si>
    <r>
      <t>Cudheard</t>
    </r>
    <r>
      <rPr>
        <sz val="8"/>
        <rFont val="Times New Roman"/>
        <family val="1"/>
      </rPr>
      <t xml:space="preserve"> (inscriptional)</t>
    </r>
  </si>
  <si>
    <t>Counterfeits</t>
  </si>
  <si>
    <t>Agglomerations</t>
  </si>
  <si>
    <t>Alchred/Ecgberht</t>
  </si>
  <si>
    <t>Eadberht/Ecgberht</t>
  </si>
  <si>
    <t>1st reign, 841-843/4</t>
  </si>
  <si>
    <t>2nd reign 843/4-849/50</t>
  </si>
  <si>
    <t>Total</t>
  </si>
  <si>
    <t>Total stycas</t>
  </si>
  <si>
    <t>Æthelred II:</t>
  </si>
  <si>
    <t>Total identifiable stycas</t>
  </si>
  <si>
    <t>Æthelred I, 1st reign</t>
  </si>
  <si>
    <t>Æthelwald Moll/Ecgberht</t>
  </si>
  <si>
    <t>Æthelred/Eanbald</t>
  </si>
  <si>
    <t>Æthelred I, 2nd reign</t>
  </si>
  <si>
    <t>CKN styca analysis</t>
  </si>
  <si>
    <t>EMC styca analysis</t>
  </si>
  <si>
    <t>PAS styca analysis</t>
  </si>
  <si>
    <t>SCBI styca analysis</t>
  </si>
  <si>
    <t>Non-Northumbrian sceats</t>
  </si>
  <si>
    <t>Total coins</t>
  </si>
  <si>
    <r>
      <t xml:space="preserve">Ælfwald I </t>
    </r>
    <r>
      <rPr>
        <sz val="8"/>
        <rFont val="Times New Roman"/>
        <family val="1"/>
      </rPr>
      <t>(2 types, beast &amp; moneyer)</t>
    </r>
  </si>
  <si>
    <t>Irregular &amp; illegible</t>
  </si>
  <si>
    <t>York shilling</t>
  </si>
  <si>
    <t>Merovingian tremisses</t>
  </si>
  <si>
    <t>Date extracted:</t>
  </si>
  <si>
    <t>Moneyer per</t>
  </si>
  <si>
    <r>
      <t>coin-legend</t>
    </r>
    <r>
      <rPr>
        <sz val="12"/>
        <color theme="1"/>
        <rFont val="Times New Roman"/>
        <family val="1"/>
      </rPr>
      <t xml:space="preserve"> (or variant) </t>
    </r>
  </si>
  <si>
    <t>Æthelred II</t>
  </si>
  <si>
    <t>Redwulf</t>
  </si>
  <si>
    <t>Osberht</t>
  </si>
  <si>
    <t>Abp. Eanbald II</t>
  </si>
  <si>
    <t>Abp. Wigmund</t>
  </si>
  <si>
    <t>Abp. Wulfhere</t>
  </si>
  <si>
    <t>Eanbald II</t>
  </si>
  <si>
    <t>Wigmund</t>
  </si>
  <si>
    <t>Wulfhere</t>
  </si>
  <si>
    <t>Æthelwald Moll &amp; Æthelred</t>
  </si>
  <si>
    <t>Total Northumbrian sceats</t>
  </si>
  <si>
    <t>Database Analysis: Hoards</t>
  </si>
  <si>
    <t>York Railway</t>
  </si>
  <si>
    <t>1842&amp;1967</t>
  </si>
  <si>
    <t>c. 5,000</t>
  </si>
  <si>
    <t>1840</t>
  </si>
  <si>
    <t>1842</t>
  </si>
  <si>
    <t>Date found:</t>
  </si>
  <si>
    <t>Approx size:</t>
  </si>
  <si>
    <t>St Leonards styca analysis</t>
  </si>
  <si>
    <t>Railway styca analysis</t>
  </si>
  <si>
    <t>'000s+1,775</t>
  </si>
  <si>
    <t>'000s</t>
  </si>
  <si>
    <t>Matrix of Issuers and Moneyers</t>
  </si>
  <si>
    <t>Excluding hoards</t>
  </si>
  <si>
    <t>Including hoards</t>
  </si>
  <si>
    <t>Cudheard (inscriptional)</t>
  </si>
  <si>
    <t>Bolton Percy 1&amp;2</t>
  </si>
  <si>
    <r>
      <t xml:space="preserve">Hexham </t>
    </r>
    <r>
      <rPr>
        <b/>
        <u/>
        <sz val="12"/>
        <color rgb="FFFF0000"/>
        <rFont val="Times New Roman"/>
        <family val="1"/>
      </rPr>
      <t>BAR180</t>
    </r>
  </si>
  <si>
    <r>
      <t xml:space="preserve">Hexham </t>
    </r>
    <r>
      <rPr>
        <b/>
        <u/>
        <sz val="12"/>
        <color rgb="FFFF0000"/>
        <rFont val="Times New Roman"/>
        <family val="1"/>
      </rPr>
      <t>CKN+EMC</t>
    </r>
  </si>
  <si>
    <r>
      <t xml:space="preserve">Total  </t>
    </r>
    <r>
      <rPr>
        <b/>
        <u/>
        <sz val="12"/>
        <color rgb="FFFF0000"/>
        <rFont val="Times New Roman"/>
        <family val="1"/>
      </rPr>
      <t>Hex min</t>
    </r>
  </si>
  <si>
    <r>
      <t xml:space="preserve">Total  </t>
    </r>
    <r>
      <rPr>
        <b/>
        <u/>
        <sz val="12"/>
        <color rgb="FFFF0000"/>
        <rFont val="Times New Roman"/>
        <family val="1"/>
      </rPr>
      <t>Hex max</t>
    </r>
  </si>
  <si>
    <r>
      <t xml:space="preserve">Hexham styca analysis </t>
    </r>
    <r>
      <rPr>
        <b/>
        <u/>
        <sz val="12"/>
        <color rgb="FFFF0000"/>
        <rFont val="Times New Roman"/>
        <family val="1"/>
      </rPr>
      <t>- based on CKN, EMC &amp; SCBI</t>
    </r>
  </si>
  <si>
    <r>
      <t xml:space="preserve">Hexham styca analysis </t>
    </r>
    <r>
      <rPr>
        <b/>
        <u/>
        <sz val="12"/>
        <color rgb="FFFF0000"/>
        <rFont val="Times New Roman"/>
        <family val="1"/>
      </rPr>
      <t>- based on Pirie, BAR180</t>
    </r>
  </si>
  <si>
    <t>I N C L U D I N G     H O A R D     M A T E R I A L</t>
  </si>
  <si>
    <t>E X C L U D I N G     H O A R D     M A T E R I A L</t>
  </si>
  <si>
    <t>Correlation of hoard to summary excluding hoards</t>
  </si>
  <si>
    <t>867?</t>
  </si>
  <si>
    <t>Estimated deposition date</t>
  </si>
  <si>
    <t>843/4?</t>
  </si>
  <si>
    <t>%</t>
  </si>
  <si>
    <t>1832 &amp;1841</t>
  </si>
  <si>
    <t>York St Leonard's (2)</t>
  </si>
  <si>
    <t>Moneyers:</t>
  </si>
  <si>
    <t>Correlation of other hoard sto Bolton Percy</t>
  </si>
  <si>
    <t>Correlation of Hexham to 843/4 only</t>
  </si>
  <si>
    <t>Correlations</t>
  </si>
  <si>
    <t>Blundered</t>
  </si>
  <si>
    <t>Total identifiable</t>
  </si>
  <si>
    <t>Count</t>
  </si>
  <si>
    <t>Moneyer normalised</t>
  </si>
  <si>
    <t>[Group A issues]</t>
  </si>
  <si>
    <t>#</t>
  </si>
  <si>
    <t>Coverage:</t>
  </si>
  <si>
    <t>All</t>
  </si>
  <si>
    <t>"in and of" Northumbria</t>
  </si>
  <si>
    <t>Early med., East Yorks</t>
  </si>
  <si>
    <t>"in and of". Vols 1-50</t>
  </si>
  <si>
    <t>Eardwulf</t>
  </si>
  <si>
    <t>11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</si>
  <si>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</si>
  <si>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</si>
  <si>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</si>
  <si>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</si>
  <si>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</si>
  <si>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</si>
  <si>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</si>
  <si>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</si>
  <si>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</si>
  <si>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</si>
  <si>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</si>
  <si>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</si>
  <si>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</si>
  <si>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</si>
  <si>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</si>
  <si>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</si>
  <si>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</si>
  <si>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</si>
  <si>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</si>
  <si>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</si>
  <si>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</si>
  <si>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</si>
  <si>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</si>
  <si>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</si>
  <si>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</si>
  <si>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</si>
  <si>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</si>
  <si>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</si>
  <si>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</si>
  <si>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</si>
  <si>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</si>
  <si>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</si>
  <si>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</si>
  <si>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</si>
  <si>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</si>
  <si>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20</t>
  </si>
  <si>
    <t>Total excl hoard</t>
  </si>
  <si>
    <t>Total in hoard</t>
  </si>
  <si>
    <t xml:space="preserve">  CKN</t>
  </si>
  <si>
    <t xml:space="preserve">  EMC</t>
  </si>
  <si>
    <t xml:space="preserve">  SCBI</t>
  </si>
  <si>
    <t xml:space="preserve">  PAS [EY]</t>
  </si>
  <si>
    <t>Hoards</t>
  </si>
  <si>
    <t xml:space="preserve">  Bolton Percy </t>
  </si>
  <si>
    <t>hoards 1&amp;2</t>
  </si>
  <si>
    <t xml:space="preserve">  Hexham</t>
  </si>
  <si>
    <t>CKN+EMC</t>
  </si>
  <si>
    <t xml:space="preserve">  York St Leonard's Place</t>
  </si>
  <si>
    <t>parcel 2</t>
  </si>
  <si>
    <t xml:space="preserve">  York Railway</t>
  </si>
  <si>
    <t>Total  hoard coins</t>
  </si>
  <si>
    <t>Total excluding hoards</t>
  </si>
  <si>
    <t xml:space="preserve">  Blundered</t>
  </si>
  <si>
    <t xml:space="preserve"> </t>
  </si>
  <si>
    <t>Identifiable</t>
  </si>
  <si>
    <t xml:space="preserve">Hexham </t>
  </si>
  <si>
    <t>BAR180/Adamson</t>
  </si>
  <si>
    <t>Total  coins</t>
  </si>
  <si>
    <t>Total identifable</t>
  </si>
  <si>
    <t>Yrs</t>
  </si>
  <si>
    <t>Ave/pa</t>
  </si>
  <si>
    <t>Reign</t>
  </si>
  <si>
    <t>40</t>
  </si>
  <si>
    <t>51</t>
  </si>
  <si>
    <t>Output/pa</t>
  </si>
  <si>
    <t>Eighth century: Sceats</t>
  </si>
  <si>
    <t>Seventh century: Gold</t>
  </si>
  <si>
    <t>Period</t>
  </si>
  <si>
    <t>N9</t>
  </si>
  <si>
    <t>N8</t>
  </si>
  <si>
    <t>Bolton Percy (Ulleskelf) styca analysis</t>
  </si>
  <si>
    <t xml:space="preserve">Coin-legend (or variant) </t>
  </si>
  <si>
    <t>2.      ALGHERE</t>
  </si>
  <si>
    <t>15.    EARDVVLF</t>
  </si>
  <si>
    <t>30.    VENDELBERHT</t>
  </si>
  <si>
    <t>Hex max %</t>
  </si>
  <si>
    <t>4a</t>
  </si>
  <si>
    <t>N6</t>
  </si>
  <si>
    <t>N6&amp;8</t>
  </si>
  <si>
    <t>N7</t>
  </si>
  <si>
    <t>N10a</t>
  </si>
  <si>
    <t>N10b</t>
  </si>
  <si>
    <t>N10c</t>
  </si>
  <si>
    <t>Matrix of C9th Issuers and Moneyers</t>
  </si>
  <si>
    <r>
      <t>Matrix of C9th Issuers and Moneyers:</t>
    </r>
    <r>
      <rPr>
        <b/>
        <sz val="12"/>
        <color theme="1"/>
        <rFont val="Times New Roman"/>
        <family val="1"/>
      </rPr>
      <t xml:space="preserve"> </t>
    </r>
    <r>
      <rPr>
        <b/>
        <u/>
        <sz val="12"/>
        <color theme="1"/>
        <rFont val="Times New Roman"/>
        <family val="1"/>
      </rPr>
      <t>THE BASE DATA-SET</t>
    </r>
  </si>
  <si>
    <t>ORIGINAL CKN styca analysis</t>
  </si>
  <si>
    <r>
      <rPr>
        <b/>
        <u/>
        <sz val="12"/>
        <color rgb="FFFF0000"/>
        <rFont val="Times New Roman"/>
        <family val="1"/>
      </rPr>
      <t>N9</t>
    </r>
    <r>
      <rPr>
        <b/>
        <u/>
        <sz val="12"/>
        <color theme="1"/>
        <rFont val="Times New Roman"/>
        <family val="1"/>
      </rPr>
      <t>-N10a</t>
    </r>
  </si>
  <si>
    <t>silver-alloy</t>
  </si>
  <si>
    <t>base styca</t>
  </si>
  <si>
    <t>Include = 1</t>
  </si>
  <si>
    <t>Ninth-century</t>
  </si>
  <si>
    <t>Eighth Century</t>
  </si>
  <si>
    <t>Ninth Century</t>
  </si>
  <si>
    <t>Sources</t>
  </si>
  <si>
    <t>Periodic summary</t>
  </si>
  <si>
    <t>Numerical summary</t>
  </si>
  <si>
    <t>Total identifable C9 coins</t>
  </si>
  <si>
    <t>Dataset 6.04: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</si>
</sst>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_);_(* \(#,##0\);_(* &quot;-&quot;_);_(@_)"/>
    <numFmt numFmtId="165" formatCode="_(* #,##0.00_);_(* \(#,##0.00\);_(* &quot;-&quot;??_);_(@_)"/>
    <numFmt numFmtId="166" formatCode="_(&quot;£&quot;* #,##0.00_);_(&quot;£&quot;* \(#,##0.00\);_(&quot;£&quot;* &quot;-&quot;??_);_(@_)"/>
    <numFmt numFmtId="167" formatCode="0.0%"/>
    <numFmt numFmtId="168" formatCode="_(* #,##0_);_(* \(#,##0\);_(* &quot;-&quot;??_);_(@_)"/>
    <numFmt numFmtId="169" formatCode="_(* #,##0.0_);_(* \(#,##0.0\);_(* &quot;-&quot;_);_(@_)"/>
    <numFmt numFmtId="170" formatCode="_(* #,##0.0_);_(* \(#,##0.0\);_(* &quot;-&quot;??_);_(@_)"/>
    <numFmt numFmtId="171" formatCode="0.0"/>
  </numFmts>
  <fonts count="3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2"/>
      <color theme="0" tint="-0.34998626667073579"/>
      <name val="Times New Roman"/>
      <family val="1"/>
    </font>
    <font>
      <sz val="12"/>
      <color theme="0" tint="-0.34998626667073579"/>
      <name val="Times New Roman"/>
      <family val="1"/>
    </font>
    <font>
      <b/>
      <u/>
      <sz val="12"/>
      <color rgb="FFFF0000"/>
      <name val="Times New Roman"/>
      <family val="1"/>
    </font>
    <font>
      <b/>
      <u val="singleAccounting"/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2"/>
      <color theme="9" tint="-0.499984740745262"/>
      <name val="Times New Roman"/>
      <family val="1"/>
    </font>
    <font>
      <sz val="11"/>
      <color theme="1"/>
      <name val="Times New Roman"/>
      <family val="1"/>
    </font>
    <font>
      <b/>
      <u/>
      <sz val="12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2"/>
      <color rgb="FF7030A0"/>
      <name val="Times New Roman"/>
      <family val="1"/>
    </font>
    <font>
      <sz val="12"/>
      <color theme="0" tint="-0.249977111117893"/>
      <name val="Times New Roman"/>
      <family val="1"/>
    </font>
    <font>
      <b/>
      <u/>
      <sz val="12"/>
      <color theme="0" tint="-0.249977111117893"/>
      <name val="Times New Roman"/>
      <family val="1"/>
    </font>
    <font>
      <b/>
      <u val="singleAccounting"/>
      <sz val="12"/>
      <color theme="9" tint="-0.249977111117893"/>
      <name val="Times New Roman"/>
      <family val="1"/>
    </font>
    <font>
      <sz val="9"/>
      <color theme="1"/>
      <name val="Times New Roman"/>
      <family val="1"/>
    </font>
    <font>
      <sz val="6"/>
      <color theme="1"/>
      <name val="Times New Roman"/>
      <family val="1"/>
    </font>
    <font>
      <b/>
      <u/>
      <sz val="6"/>
      <color theme="1"/>
      <name val="Times New Roman"/>
      <family val="1"/>
    </font>
    <font>
      <b/>
      <u val="singleAccounting"/>
      <sz val="12"/>
      <color theme="1"/>
      <name val="Times New Roman"/>
      <family val="1"/>
    </font>
    <font>
      <b/>
      <sz val="12"/>
      <name val="Times New Roman"/>
      <family val="1"/>
    </font>
    <font>
      <b/>
      <u/>
      <sz val="12"/>
      <color theme="0" tint="-0.499984740745262"/>
      <name val="Times New Roman"/>
      <family val="1"/>
    </font>
    <font>
      <sz val="12"/>
      <color theme="0" tint="-0.499984740745262"/>
      <name val="Times New Roman"/>
      <family val="1"/>
    </font>
    <font>
      <u/>
      <sz val="12"/>
      <color theme="0" tint="-0.499984740745262"/>
      <name val="Times New Roman"/>
      <family val="1"/>
    </font>
    <font>
      <b/>
      <i/>
      <sz val="12"/>
      <color theme="0" tint="-0.499984740745262"/>
      <name val="Times New Roman"/>
      <family val="1"/>
    </font>
    <font>
      <sz val="11"/>
      <color theme="0" tint="-0.499984740745262"/>
      <name val="Times New Roman"/>
      <family val="1"/>
    </font>
    <font>
      <b/>
      <sz val="12"/>
      <color theme="0" tint="-0.499984740745262"/>
      <name val="Times New Roman"/>
      <family val="1"/>
    </font>
    <font>
      <b/>
      <i/>
      <sz val="12"/>
      <color theme="5" tint="0.39997558519241921"/>
      <name val="Times New Roman"/>
      <family val="1"/>
    </font>
    <font>
      <b/>
      <i/>
      <u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216">
    <xf numFmtId="0" fontId="0" fillId="0" borderId="0" xfId="0"/>
    <xf numFmtId="49" fontId="5" fillId="0" borderId="0" xfId="0" applyNumberFormat="1" applyFont="1" applyBorder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left" vertical="top"/>
    </xf>
    <xf numFmtId="164" fontId="1" fillId="0" borderId="3" xfId="0" applyNumberFormat="1" applyFont="1" applyBorder="1" applyAlignment="1">
      <alignment horizontal="left" vertical="top"/>
    </xf>
    <xf numFmtId="164" fontId="1" fillId="0" borderId="3" xfId="0" applyNumberFormat="1" applyFont="1" applyBorder="1" applyAlignment="1">
      <alignment vertical="top"/>
    </xf>
    <xf numFmtId="49" fontId="4" fillId="0" borderId="0" xfId="0" applyNumberFormat="1" applyFont="1" applyAlignment="1">
      <alignment horizontal="left" vertical="top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164" fontId="1" fillId="0" borderId="2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vertical="top"/>
    </xf>
    <xf numFmtId="164" fontId="1" fillId="0" borderId="2" xfId="0" applyNumberFormat="1" applyFont="1" applyBorder="1" applyAlignment="1">
      <alignment horizontal="left" vertical="top"/>
    </xf>
    <xf numFmtId="14" fontId="1" fillId="0" borderId="0" xfId="0" quotePrefix="1" applyNumberFormat="1" applyFont="1" applyAlignment="1">
      <alignment horizontal="right" vertical="top"/>
    </xf>
    <xf numFmtId="14" fontId="1" fillId="0" borderId="0" xfId="0" applyNumberFormat="1" applyFont="1" applyAlignment="1">
      <alignment horizontal="right" vertical="top"/>
    </xf>
    <xf numFmtId="164" fontId="1" fillId="0" borderId="0" xfId="0" quotePrefix="1" applyNumberFormat="1" applyFont="1" applyAlignment="1">
      <alignment horizontal="left" vertical="top"/>
    </xf>
    <xf numFmtId="164" fontId="1" fillId="0" borderId="0" xfId="0" quotePrefix="1" applyNumberFormat="1" applyFont="1" applyAlignment="1">
      <alignment horizontal="right" vertical="top"/>
    </xf>
    <xf numFmtId="49" fontId="8" fillId="0" borderId="0" xfId="0" applyNumberFormat="1" applyFont="1" applyAlignment="1">
      <alignment horizontal="right" vertical="top"/>
    </xf>
    <xf numFmtId="14" fontId="8" fillId="0" borderId="0" xfId="0" quotePrefix="1" applyNumberFormat="1" applyFont="1" applyAlignment="1">
      <alignment horizontal="right" vertical="top"/>
    </xf>
    <xf numFmtId="49" fontId="6" fillId="0" borderId="0" xfId="0" applyNumberFormat="1" applyFont="1" applyBorder="1" applyAlignment="1">
      <alignment vertical="top" wrapText="1"/>
    </xf>
    <xf numFmtId="49" fontId="4" fillId="0" borderId="0" xfId="0" applyNumberFormat="1" applyFont="1" applyAlignment="1">
      <alignment horizontal="right" vertical="top" wrapText="1"/>
    </xf>
    <xf numFmtId="49" fontId="11" fillId="0" borderId="0" xfId="0" applyNumberFormat="1" applyFont="1" applyAlignment="1">
      <alignment horizontal="right" vertical="top"/>
    </xf>
    <xf numFmtId="164" fontId="12" fillId="0" borderId="0" xfId="0" applyNumberFormat="1" applyFont="1" applyAlignment="1">
      <alignment vertical="top"/>
    </xf>
    <xf numFmtId="164" fontId="12" fillId="0" borderId="3" xfId="0" applyNumberFormat="1" applyFont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1" fillId="0" borderId="0" xfId="0" applyNumberFormat="1" applyFont="1" applyFill="1" applyAlignment="1">
      <alignment vertical="top"/>
    </xf>
    <xf numFmtId="164" fontId="1" fillId="0" borderId="2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164" fontId="16" fillId="0" borderId="0" xfId="0" applyNumberFormat="1" applyFont="1" applyAlignment="1">
      <alignment vertical="top"/>
    </xf>
    <xf numFmtId="9" fontId="16" fillId="0" borderId="0" xfId="2" applyFont="1" applyAlignment="1">
      <alignment vertical="top"/>
    </xf>
    <xf numFmtId="9" fontId="16" fillId="0" borderId="0" xfId="0" applyNumberFormat="1" applyFont="1" applyAlignment="1">
      <alignment horizontal="right" vertical="top"/>
    </xf>
    <xf numFmtId="9" fontId="16" fillId="0" borderId="0" xfId="0" applyNumberFormat="1" applyFont="1" applyAlignment="1">
      <alignment vertical="top"/>
    </xf>
    <xf numFmtId="167" fontId="1" fillId="0" borderId="0" xfId="2" applyNumberFormat="1" applyFont="1" applyAlignment="1">
      <alignment vertical="top"/>
    </xf>
    <xf numFmtId="49" fontId="4" fillId="0" borderId="0" xfId="0" applyNumberFormat="1" applyFont="1" applyAlignment="1">
      <alignment horizontal="center" vertical="top"/>
    </xf>
    <xf numFmtId="167" fontId="1" fillId="0" borderId="3" xfId="2" applyNumberFormat="1" applyFont="1" applyBorder="1" applyAlignment="1">
      <alignment vertical="top"/>
    </xf>
    <xf numFmtId="167" fontId="1" fillId="0" borderId="4" xfId="2" applyNumberFormat="1" applyFont="1" applyBorder="1" applyAlignment="1">
      <alignment vertical="top"/>
    </xf>
    <xf numFmtId="49" fontId="11" fillId="0" borderId="0" xfId="0" applyNumberFormat="1" applyFont="1" applyAlignment="1">
      <alignment horizontal="center" vertical="top"/>
    </xf>
    <xf numFmtId="167" fontId="12" fillId="0" borderId="0" xfId="2" applyNumberFormat="1" applyFont="1" applyAlignment="1">
      <alignment vertical="top"/>
    </xf>
    <xf numFmtId="167" fontId="12" fillId="0" borderId="3" xfId="2" applyNumberFormat="1" applyFont="1" applyBorder="1" applyAlignment="1">
      <alignment vertical="top"/>
    </xf>
    <xf numFmtId="167" fontId="12" fillId="0" borderId="4" xfId="2" applyNumberFormat="1" applyFont="1" applyBorder="1" applyAlignment="1">
      <alignment vertical="top"/>
    </xf>
    <xf numFmtId="49" fontId="7" fillId="0" borderId="0" xfId="0" applyNumberFormat="1" applyFont="1" applyAlignment="1">
      <alignment horizontal="right" vertical="top"/>
    </xf>
    <xf numFmtId="167" fontId="1" fillId="0" borderId="0" xfId="2" applyNumberFormat="1" applyFont="1" applyFill="1" applyAlignment="1">
      <alignment vertical="top"/>
    </xf>
    <xf numFmtId="167" fontId="1" fillId="0" borderId="0" xfId="2" applyNumberFormat="1" applyFont="1" applyAlignment="1">
      <alignment horizontal="right" vertical="top"/>
    </xf>
    <xf numFmtId="167" fontId="1" fillId="0" borderId="2" xfId="2" applyNumberFormat="1" applyFont="1" applyBorder="1" applyAlignment="1">
      <alignment horizontal="right" vertical="top"/>
    </xf>
    <xf numFmtId="167" fontId="1" fillId="0" borderId="0" xfId="2" applyNumberFormat="1" applyFont="1" applyFill="1" applyAlignment="1">
      <alignment horizontal="right" vertical="top"/>
    </xf>
    <xf numFmtId="167" fontId="1" fillId="0" borderId="0" xfId="2" applyNumberFormat="1" applyFont="1" applyBorder="1" applyAlignment="1">
      <alignment vertical="top"/>
    </xf>
    <xf numFmtId="167" fontId="1" fillId="0" borderId="0" xfId="2" applyNumberFormat="1" applyFont="1" applyBorder="1" applyAlignment="1">
      <alignment horizontal="right" vertical="top"/>
    </xf>
    <xf numFmtId="14" fontId="5" fillId="0" borderId="0" xfId="0" quotePrefix="1" applyNumberFormat="1" applyFont="1" applyAlignment="1">
      <alignment horizontal="right" vertical="top"/>
    </xf>
    <xf numFmtId="164" fontId="17" fillId="0" borderId="0" xfId="0" applyNumberFormat="1" applyFont="1" applyFill="1" applyAlignment="1">
      <alignment vertical="top"/>
    </xf>
    <xf numFmtId="168" fontId="1" fillId="0" borderId="2" xfId="3" applyNumberFormat="1" applyFont="1" applyBorder="1" applyAlignment="1">
      <alignment horizontal="left" vertical="top"/>
    </xf>
    <xf numFmtId="49" fontId="5" fillId="0" borderId="0" xfId="0" applyNumberFormat="1" applyFont="1" applyAlignment="1">
      <alignment vertical="top"/>
    </xf>
    <xf numFmtId="164" fontId="5" fillId="0" borderId="0" xfId="0" applyNumberFormat="1" applyFont="1" applyBorder="1" applyAlignment="1">
      <alignment vertical="top"/>
    </xf>
    <xf numFmtId="164" fontId="5" fillId="0" borderId="0" xfId="0" applyNumberFormat="1" applyFont="1" applyAlignment="1">
      <alignment vertical="top"/>
    </xf>
    <xf numFmtId="49" fontId="5" fillId="0" borderId="0" xfId="1" applyNumberFormat="1" applyFont="1" applyBorder="1" applyAlignment="1">
      <alignment vertical="top"/>
    </xf>
    <xf numFmtId="9" fontId="5" fillId="0" borderId="0" xfId="2" applyFont="1" applyAlignment="1">
      <alignment vertical="top"/>
    </xf>
    <xf numFmtId="9" fontId="5" fillId="0" borderId="0" xfId="0" applyNumberFormat="1" applyFont="1" applyAlignment="1">
      <alignment horizontal="right" vertical="top"/>
    </xf>
    <xf numFmtId="9" fontId="5" fillId="0" borderId="0" xfId="0" applyNumberFormat="1" applyFont="1" applyAlignment="1">
      <alignment vertical="top"/>
    </xf>
    <xf numFmtId="9" fontId="5" fillId="0" borderId="0" xfId="2" applyFont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49" fontId="18" fillId="0" borderId="0" xfId="0" applyNumberFormat="1" applyFont="1" applyAlignment="1">
      <alignment horizontal="left" vertical="top"/>
    </xf>
    <xf numFmtId="9" fontId="7" fillId="0" borderId="0" xfId="2" applyNumberFormat="1" applyFont="1" applyAlignment="1">
      <alignment horizontal="right" vertical="top"/>
    </xf>
    <xf numFmtId="167" fontId="12" fillId="0" borderId="0" xfId="2" applyNumberFormat="1" applyFont="1" applyBorder="1" applyAlignment="1">
      <alignment vertical="top"/>
    </xf>
    <xf numFmtId="49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vertical="top"/>
    </xf>
    <xf numFmtId="168" fontId="1" fillId="0" borderId="0" xfId="3" applyNumberFormat="1" applyFont="1" applyFill="1" applyAlignment="1">
      <alignment vertical="top"/>
    </xf>
    <xf numFmtId="164" fontId="19" fillId="0" borderId="0" xfId="0" applyNumberFormat="1" applyFont="1" applyAlignment="1">
      <alignment vertical="top"/>
    </xf>
    <xf numFmtId="164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vertical="top"/>
    </xf>
    <xf numFmtId="167" fontId="1" fillId="0" borderId="2" xfId="2" applyNumberFormat="1" applyFont="1" applyBorder="1" applyAlignment="1">
      <alignment vertical="top"/>
    </xf>
    <xf numFmtId="164" fontId="21" fillId="0" borderId="0" xfId="0" applyNumberFormat="1" applyFont="1" applyAlignment="1">
      <alignment vertical="top"/>
    </xf>
    <xf numFmtId="49" fontId="4" fillId="3" borderId="6" xfId="0" applyNumberFormat="1" applyFont="1" applyFill="1" applyBorder="1" applyAlignment="1">
      <alignment vertical="top"/>
    </xf>
    <xf numFmtId="164" fontId="1" fillId="3" borderId="7" xfId="0" applyNumberFormat="1" applyFont="1" applyFill="1" applyBorder="1" applyAlignment="1">
      <alignment vertical="top"/>
    </xf>
    <xf numFmtId="164" fontId="1" fillId="3" borderId="7" xfId="0" applyNumberFormat="1" applyFont="1" applyFill="1" applyBorder="1" applyAlignment="1">
      <alignment horizontal="left" vertical="top"/>
    </xf>
    <xf numFmtId="164" fontId="1" fillId="3" borderId="8" xfId="0" applyNumberFormat="1" applyFont="1" applyFill="1" applyBorder="1" applyAlignment="1">
      <alignment vertical="top"/>
    </xf>
    <xf numFmtId="49" fontId="2" fillId="3" borderId="9" xfId="0" applyNumberFormat="1" applyFont="1" applyFill="1" applyBorder="1" applyAlignment="1">
      <alignment horizontal="left" vertical="top"/>
    </xf>
    <xf numFmtId="164" fontId="1" fillId="3" borderId="10" xfId="0" applyNumberFormat="1" applyFont="1" applyFill="1" applyBorder="1" applyAlignment="1">
      <alignment vertical="top"/>
    </xf>
    <xf numFmtId="49" fontId="20" fillId="3" borderId="9" xfId="0" applyNumberFormat="1" applyFont="1" applyFill="1" applyBorder="1" applyAlignment="1">
      <alignment vertical="top"/>
    </xf>
    <xf numFmtId="49" fontId="4" fillId="3" borderId="0" xfId="0" applyNumberFormat="1" applyFont="1" applyFill="1" applyBorder="1" applyAlignment="1">
      <alignment horizontal="right" vertical="top"/>
    </xf>
    <xf numFmtId="49" fontId="4" fillId="3" borderId="10" xfId="0" applyNumberFormat="1" applyFont="1" applyFill="1" applyBorder="1" applyAlignment="1">
      <alignment horizontal="center" vertical="top"/>
    </xf>
    <xf numFmtId="49" fontId="1" fillId="3" borderId="9" xfId="0" applyNumberFormat="1" applyFont="1" applyFill="1" applyBorder="1" applyAlignment="1">
      <alignment vertical="top"/>
    </xf>
    <xf numFmtId="164" fontId="1" fillId="3" borderId="0" xfId="0" applyNumberFormat="1" applyFont="1" applyFill="1" applyBorder="1" applyAlignment="1">
      <alignment vertical="top"/>
    </xf>
    <xf numFmtId="167" fontId="1" fillId="3" borderId="0" xfId="2" applyNumberFormat="1" applyFont="1" applyFill="1" applyBorder="1" applyAlignment="1">
      <alignment vertical="top"/>
    </xf>
    <xf numFmtId="49" fontId="3" fillId="3" borderId="9" xfId="0" applyNumberFormat="1" applyFont="1" applyFill="1" applyBorder="1" applyAlignment="1">
      <alignment vertical="top"/>
    </xf>
    <xf numFmtId="164" fontId="20" fillId="3" borderId="0" xfId="0" applyNumberFormat="1" applyFont="1" applyFill="1" applyBorder="1" applyAlignment="1">
      <alignment vertical="top"/>
    </xf>
    <xf numFmtId="49" fontId="1" fillId="3" borderId="9" xfId="0" applyNumberFormat="1" applyFont="1" applyFill="1" applyBorder="1" applyAlignment="1">
      <alignment horizontal="right" vertical="top"/>
    </xf>
    <xf numFmtId="164" fontId="1" fillId="3" borderId="2" xfId="0" applyNumberFormat="1" applyFont="1" applyFill="1" applyBorder="1" applyAlignment="1">
      <alignment horizontal="left" vertical="top"/>
    </xf>
    <xf numFmtId="167" fontId="1" fillId="3" borderId="2" xfId="2" applyNumberFormat="1" applyFont="1" applyFill="1" applyBorder="1" applyAlignment="1">
      <alignment horizontal="right" vertical="top"/>
    </xf>
    <xf numFmtId="164" fontId="1" fillId="3" borderId="9" xfId="0" applyNumberFormat="1" applyFont="1" applyFill="1" applyBorder="1" applyAlignment="1">
      <alignment vertical="top"/>
    </xf>
    <xf numFmtId="164" fontId="1" fillId="3" borderId="0" xfId="0" applyNumberFormat="1" applyFont="1" applyFill="1" applyBorder="1" applyAlignment="1">
      <alignment horizontal="left" vertical="top"/>
    </xf>
    <xf numFmtId="49" fontId="7" fillId="3" borderId="9" xfId="0" applyNumberFormat="1" applyFont="1" applyFill="1" applyBorder="1" applyAlignment="1">
      <alignment horizontal="right" vertical="top"/>
    </xf>
    <xf numFmtId="49" fontId="1" fillId="3" borderId="11" xfId="0" applyNumberFormat="1" applyFont="1" applyFill="1" applyBorder="1" applyAlignment="1">
      <alignment horizontal="right" vertical="top"/>
    </xf>
    <xf numFmtId="168" fontId="1" fillId="3" borderId="12" xfId="3" applyNumberFormat="1" applyFont="1" applyFill="1" applyBorder="1" applyAlignment="1">
      <alignment vertical="top"/>
    </xf>
    <xf numFmtId="164" fontId="1" fillId="3" borderId="13" xfId="0" applyNumberFormat="1" applyFont="1" applyFill="1" applyBorder="1" applyAlignment="1">
      <alignment vertical="top"/>
    </xf>
    <xf numFmtId="49" fontId="22" fillId="0" borderId="0" xfId="0" applyNumberFormat="1" applyFont="1" applyAlignment="1">
      <alignment horizontal="right" vertical="top"/>
    </xf>
    <xf numFmtId="49" fontId="1" fillId="0" borderId="16" xfId="0" applyNumberFormat="1" applyFont="1" applyBorder="1" applyAlignment="1">
      <alignment horizontal="left" vertical="top"/>
    </xf>
    <xf numFmtId="164" fontId="1" fillId="0" borderId="17" xfId="0" applyNumberFormat="1" applyFont="1" applyBorder="1" applyAlignment="1">
      <alignment vertical="top"/>
    </xf>
    <xf numFmtId="49" fontId="1" fillId="0" borderId="18" xfId="0" applyNumberFormat="1" applyFont="1" applyBorder="1" applyAlignment="1">
      <alignment horizontal="left" vertical="top"/>
    </xf>
    <xf numFmtId="49" fontId="4" fillId="0" borderId="14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horizontal="right" vertical="top"/>
    </xf>
    <xf numFmtId="164" fontId="7" fillId="0" borderId="4" xfId="0" applyNumberFormat="1" applyFont="1" applyBorder="1" applyAlignment="1">
      <alignment vertical="top"/>
    </xf>
    <xf numFmtId="164" fontId="7" fillId="0" borderId="5" xfId="0" applyNumberFormat="1" applyFont="1" applyBorder="1" applyAlignment="1">
      <alignment vertical="top"/>
    </xf>
    <xf numFmtId="49" fontId="20" fillId="0" borderId="0" xfId="0" applyNumberFormat="1" applyFont="1" applyFill="1" applyAlignment="1">
      <alignment vertical="top"/>
    </xf>
    <xf numFmtId="164" fontId="1" fillId="2" borderId="0" xfId="0" applyNumberFormat="1" applyFont="1" applyFill="1" applyAlignment="1">
      <alignment vertical="top"/>
    </xf>
    <xf numFmtId="164" fontId="25" fillId="3" borderId="0" xfId="0" applyNumberFormat="1" applyFont="1" applyFill="1" applyBorder="1" applyAlignment="1">
      <alignment horizontal="left" vertical="top"/>
    </xf>
    <xf numFmtId="164" fontId="25" fillId="3" borderId="0" xfId="0" applyNumberFormat="1" applyFont="1" applyFill="1" applyBorder="1" applyAlignment="1">
      <alignment vertical="top"/>
    </xf>
    <xf numFmtId="49" fontId="4" fillId="3" borderId="0" xfId="0" applyNumberFormat="1" applyFont="1" applyFill="1" applyBorder="1" applyAlignment="1">
      <alignment horizontal="center" vertical="top" textRotation="90"/>
    </xf>
    <xf numFmtId="49" fontId="20" fillId="3" borderId="9" xfId="0" applyNumberFormat="1" applyFont="1" applyFill="1" applyBorder="1" applyAlignment="1"/>
    <xf numFmtId="49" fontId="26" fillId="0" borderId="0" xfId="0" applyNumberFormat="1" applyFont="1" applyAlignment="1">
      <alignment horizontal="right" vertical="top"/>
    </xf>
    <xf numFmtId="14" fontId="26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/>
    </xf>
    <xf numFmtId="49" fontId="27" fillId="0" borderId="1" xfId="0" applyNumberFormat="1" applyFont="1" applyBorder="1" applyAlignment="1">
      <alignment horizontal="right"/>
    </xf>
    <xf numFmtId="49" fontId="27" fillId="0" borderId="15" xfId="0" applyNumberFormat="1" applyFont="1" applyBorder="1" applyAlignment="1">
      <alignment horizontal="right" wrapText="1"/>
    </xf>
    <xf numFmtId="169" fontId="1" fillId="0" borderId="0" xfId="0" applyNumberFormat="1" applyFont="1" applyAlignment="1">
      <alignment vertical="top"/>
    </xf>
    <xf numFmtId="168" fontId="1" fillId="3" borderId="0" xfId="3" applyNumberFormat="1" applyFont="1" applyFill="1" applyBorder="1" applyAlignment="1">
      <alignment vertical="top"/>
    </xf>
    <xf numFmtId="168" fontId="1" fillId="0" borderId="0" xfId="3" applyNumberFormat="1" applyFont="1" applyFill="1" applyAlignment="1">
      <alignment horizontal="right" vertical="top"/>
    </xf>
    <xf numFmtId="37" fontId="1" fillId="0" borderId="0" xfId="3" applyNumberFormat="1" applyFont="1" applyFill="1" applyAlignment="1">
      <alignment horizontal="right" vertical="top"/>
    </xf>
    <xf numFmtId="168" fontId="1" fillId="3" borderId="0" xfId="3" applyNumberFormat="1" applyFont="1" applyFill="1" applyBorder="1" applyAlignment="1">
      <alignment horizontal="right" vertical="top"/>
    </xf>
    <xf numFmtId="164" fontId="5" fillId="2" borderId="0" xfId="0" applyNumberFormat="1" applyFont="1" applyFill="1" applyBorder="1" applyAlignment="1">
      <alignment vertical="top"/>
    </xf>
    <xf numFmtId="167" fontId="1" fillId="0" borderId="1" xfId="2" applyNumberFormat="1" applyFont="1" applyBorder="1" applyAlignment="1">
      <alignment vertical="top"/>
    </xf>
    <xf numFmtId="49" fontId="28" fillId="0" borderId="0" xfId="0" applyNumberFormat="1" applyFont="1" applyAlignment="1">
      <alignment horizontal="center" vertical="top" wrapText="1"/>
    </xf>
    <xf numFmtId="167" fontId="1" fillId="0" borderId="0" xfId="0" applyNumberFormat="1" applyFont="1" applyFill="1" applyAlignment="1">
      <alignment vertical="top"/>
    </xf>
    <xf numFmtId="10" fontId="1" fillId="0" borderId="0" xfId="2" applyNumberFormat="1" applyFont="1" applyAlignment="1">
      <alignment vertical="top"/>
    </xf>
    <xf numFmtId="2" fontId="1" fillId="0" borderId="0" xfId="0" applyNumberFormat="1" applyFont="1" applyAlignment="1">
      <alignment vertical="top"/>
    </xf>
    <xf numFmtId="169" fontId="22" fillId="0" borderId="0" xfId="0" applyNumberFormat="1" applyFont="1" applyAlignment="1">
      <alignment vertical="top"/>
    </xf>
    <xf numFmtId="169" fontId="23" fillId="0" borderId="0" xfId="0" applyNumberFormat="1" applyFont="1" applyAlignment="1">
      <alignment vertical="top"/>
    </xf>
    <xf numFmtId="169" fontId="22" fillId="0" borderId="0" xfId="0" applyNumberFormat="1" applyFont="1" applyAlignment="1">
      <alignment horizontal="right" vertical="top"/>
    </xf>
    <xf numFmtId="164" fontId="1" fillId="0" borderId="8" xfId="0" applyNumberFormat="1" applyFont="1" applyBorder="1" applyAlignment="1">
      <alignment vertical="top"/>
    </xf>
    <xf numFmtId="167" fontId="29" fillId="0" borderId="0" xfId="2" applyNumberFormat="1" applyFont="1" applyBorder="1" applyAlignment="1"/>
    <xf numFmtId="10" fontId="1" fillId="0" borderId="10" xfId="0" applyNumberFormat="1" applyFont="1" applyBorder="1" applyAlignment="1">
      <alignment vertical="top"/>
    </xf>
    <xf numFmtId="167" fontId="29" fillId="0" borderId="0" xfId="2" applyNumberFormat="1" applyFont="1" applyBorder="1" applyAlignment="1">
      <alignment vertical="top"/>
    </xf>
    <xf numFmtId="169" fontId="23" fillId="0" borderId="0" xfId="0" applyNumberFormat="1" applyFont="1" applyBorder="1" applyAlignment="1">
      <alignment vertical="top"/>
    </xf>
    <xf numFmtId="10" fontId="1" fillId="0" borderId="13" xfId="0" applyNumberFormat="1" applyFont="1" applyBorder="1" applyAlignment="1">
      <alignment vertical="top"/>
    </xf>
    <xf numFmtId="10" fontId="1" fillId="0" borderId="19" xfId="0" applyNumberFormat="1" applyFont="1" applyBorder="1" applyAlignment="1">
      <alignment vertical="top"/>
    </xf>
    <xf numFmtId="164" fontId="31" fillId="0" borderId="2" xfId="0" applyNumberFormat="1" applyFont="1" applyBorder="1" applyAlignment="1">
      <alignment horizontal="left" vertical="top"/>
    </xf>
    <xf numFmtId="49" fontId="30" fillId="0" borderId="6" xfId="0" applyNumberFormat="1" applyFont="1" applyBorder="1" applyAlignment="1">
      <alignment vertical="top"/>
    </xf>
    <xf numFmtId="49" fontId="30" fillId="0" borderId="7" xfId="0" applyNumberFormat="1" applyFont="1" applyBorder="1" applyAlignment="1">
      <alignment vertical="top"/>
    </xf>
    <xf numFmtId="49" fontId="31" fillId="0" borderId="7" xfId="0" applyNumberFormat="1" applyFont="1" applyBorder="1" applyAlignment="1">
      <alignment vertical="top"/>
    </xf>
    <xf numFmtId="164" fontId="31" fillId="0" borderId="7" xfId="0" applyNumberFormat="1" applyFont="1" applyBorder="1" applyAlignment="1">
      <alignment vertical="top"/>
    </xf>
    <xf numFmtId="164" fontId="31" fillId="0" borderId="7" xfId="0" applyNumberFormat="1" applyFont="1" applyBorder="1" applyAlignment="1">
      <alignment horizontal="left" vertical="top"/>
    </xf>
    <xf numFmtId="164" fontId="31" fillId="0" borderId="8" xfId="0" applyNumberFormat="1" applyFont="1" applyBorder="1" applyAlignment="1">
      <alignment horizontal="right" vertical="top"/>
    </xf>
    <xf numFmtId="49" fontId="32" fillId="0" borderId="9" xfId="0" applyNumberFormat="1" applyFont="1" applyBorder="1" applyAlignment="1">
      <alignment horizontal="left" vertical="top"/>
    </xf>
    <xf numFmtId="49" fontId="32" fillId="0" borderId="0" xfId="0" applyNumberFormat="1" applyFont="1" applyBorder="1" applyAlignment="1">
      <alignment horizontal="left" vertical="top"/>
    </xf>
    <xf numFmtId="164" fontId="31" fillId="0" borderId="0" xfId="0" applyNumberFormat="1" applyFont="1" applyBorder="1" applyAlignment="1">
      <alignment vertical="top"/>
    </xf>
    <xf numFmtId="164" fontId="31" fillId="0" borderId="0" xfId="0" applyNumberFormat="1" applyFont="1" applyBorder="1" applyAlignment="1">
      <alignment horizontal="left" vertical="top"/>
    </xf>
    <xf numFmtId="164" fontId="31" fillId="0" borderId="10" xfId="0" applyNumberFormat="1" applyFont="1" applyBorder="1" applyAlignment="1">
      <alignment horizontal="right" vertical="top"/>
    </xf>
    <xf numFmtId="49" fontId="32" fillId="0" borderId="9" xfId="0" applyNumberFormat="1" applyFont="1" applyBorder="1" applyAlignment="1">
      <alignment vertical="top"/>
    </xf>
    <xf numFmtId="49" fontId="32" fillId="0" borderId="0" xfId="0" applyNumberFormat="1" applyFont="1" applyBorder="1" applyAlignment="1">
      <alignment vertical="top"/>
    </xf>
    <xf numFmtId="49" fontId="36" fillId="0" borderId="0" xfId="0" applyNumberFormat="1" applyFont="1" applyBorder="1" applyAlignment="1">
      <alignment vertical="top"/>
    </xf>
    <xf numFmtId="49" fontId="30" fillId="0" borderId="0" xfId="0" applyNumberFormat="1" applyFont="1" applyBorder="1" applyAlignment="1">
      <alignment horizontal="right" vertical="top"/>
    </xf>
    <xf numFmtId="49" fontId="30" fillId="0" borderId="10" xfId="0" applyNumberFormat="1" applyFont="1" applyBorder="1" applyAlignment="1">
      <alignment horizontal="right" vertical="top"/>
    </xf>
    <xf numFmtId="49" fontId="31" fillId="0" borderId="9" xfId="0" applyNumberFormat="1" applyFont="1" applyBorder="1" applyAlignment="1">
      <alignment vertical="top"/>
    </xf>
    <xf numFmtId="49" fontId="31" fillId="0" borderId="0" xfId="0" applyNumberFormat="1" applyFont="1" applyBorder="1" applyAlignment="1">
      <alignment horizontal="right" vertical="top"/>
    </xf>
    <xf numFmtId="164" fontId="36" fillId="0" borderId="0" xfId="0" applyNumberFormat="1" applyFont="1" applyBorder="1" applyAlignment="1">
      <alignment vertical="top"/>
    </xf>
    <xf numFmtId="167" fontId="31" fillId="0" borderId="10" xfId="2" applyNumberFormat="1" applyFont="1" applyBorder="1" applyAlignment="1">
      <alignment horizontal="right" vertical="top"/>
    </xf>
    <xf numFmtId="49" fontId="31" fillId="0" borderId="0" xfId="0" applyNumberFormat="1" applyFont="1" applyBorder="1" applyAlignment="1">
      <alignment vertical="top"/>
    </xf>
    <xf numFmtId="164" fontId="33" fillId="0" borderId="0" xfId="0" applyNumberFormat="1" applyFont="1" applyBorder="1" applyAlignment="1">
      <alignment vertical="top"/>
    </xf>
    <xf numFmtId="49" fontId="31" fillId="0" borderId="9" xfId="0" applyNumberFormat="1" applyFont="1" applyBorder="1" applyAlignment="1">
      <alignment horizontal="right" vertical="top"/>
    </xf>
    <xf numFmtId="167" fontId="31" fillId="0" borderId="20" xfId="2" applyNumberFormat="1" applyFont="1" applyBorder="1" applyAlignment="1">
      <alignment horizontal="right" vertical="top"/>
    </xf>
    <xf numFmtId="164" fontId="34" fillId="0" borderId="0" xfId="0" applyNumberFormat="1" applyFont="1" applyFill="1" applyBorder="1" applyAlignment="1">
      <alignment vertical="top"/>
    </xf>
    <xf numFmtId="164" fontId="31" fillId="0" borderId="0" xfId="0" applyNumberFormat="1" applyFont="1" applyFill="1" applyBorder="1" applyAlignment="1">
      <alignment vertical="top"/>
    </xf>
    <xf numFmtId="49" fontId="31" fillId="0" borderId="11" xfId="0" applyNumberFormat="1" applyFont="1" applyBorder="1" applyAlignment="1">
      <alignment vertical="top"/>
    </xf>
    <xf numFmtId="49" fontId="31" fillId="0" borderId="12" xfId="0" applyNumberFormat="1" applyFont="1" applyBorder="1" applyAlignment="1">
      <alignment horizontal="right" vertical="top"/>
    </xf>
    <xf numFmtId="49" fontId="35" fillId="0" borderId="12" xfId="0" applyNumberFormat="1" applyFont="1" applyBorder="1" applyAlignment="1">
      <alignment horizontal="right" vertical="top"/>
    </xf>
    <xf numFmtId="167" fontId="31" fillId="0" borderId="12" xfId="2" applyNumberFormat="1" applyFont="1" applyFill="1" applyBorder="1" applyAlignment="1">
      <alignment vertical="top"/>
    </xf>
    <xf numFmtId="164" fontId="31" fillId="0" borderId="13" xfId="0" applyNumberFormat="1" applyFont="1" applyBorder="1" applyAlignment="1">
      <alignment horizontal="right" vertical="top"/>
    </xf>
    <xf numFmtId="49" fontId="20" fillId="0" borderId="0" xfId="0" applyNumberFormat="1" applyFont="1" applyAlignment="1"/>
    <xf numFmtId="168" fontId="1" fillId="3" borderId="9" xfId="3" applyNumberFormat="1" applyFont="1" applyFill="1" applyBorder="1" applyAlignment="1">
      <alignment horizontal="right" vertical="top"/>
    </xf>
    <xf numFmtId="168" fontId="1" fillId="3" borderId="11" xfId="3" applyNumberFormat="1" applyFont="1" applyFill="1" applyBorder="1" applyAlignment="1">
      <alignment horizontal="right" vertical="top"/>
    </xf>
    <xf numFmtId="171" fontId="1" fillId="3" borderId="12" xfId="0" applyNumberFormat="1" applyFont="1" applyFill="1" applyBorder="1" applyAlignment="1">
      <alignment horizontal="right" vertical="top"/>
    </xf>
    <xf numFmtId="49" fontId="4" fillId="3" borderId="9" xfId="0" applyNumberFormat="1" applyFont="1" applyFill="1" applyBorder="1" applyAlignment="1">
      <alignment horizontal="right" vertical="top"/>
    </xf>
    <xf numFmtId="49" fontId="4" fillId="0" borderId="6" xfId="0" applyNumberFormat="1" applyFont="1" applyBorder="1" applyAlignment="1">
      <alignment vertical="top"/>
    </xf>
    <xf numFmtId="49" fontId="4" fillId="0" borderId="7" xfId="0" applyNumberFormat="1" applyFont="1" applyBorder="1" applyAlignment="1">
      <alignment vertical="top"/>
    </xf>
    <xf numFmtId="49" fontId="4" fillId="0" borderId="7" xfId="0" applyNumberFormat="1" applyFont="1" applyBorder="1" applyAlignment="1">
      <alignment vertical="top" wrapText="1"/>
    </xf>
    <xf numFmtId="49" fontId="4" fillId="0" borderId="8" xfId="0" applyNumberFormat="1" applyFont="1" applyBorder="1" applyAlignment="1">
      <alignment vertical="top" wrapText="1"/>
    </xf>
    <xf numFmtId="49" fontId="1" fillId="0" borderId="9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164" fontId="1" fillId="0" borderId="10" xfId="0" applyNumberFormat="1" applyFont="1" applyBorder="1" applyAlignment="1">
      <alignment horizontal="right" vertical="top"/>
    </xf>
    <xf numFmtId="164" fontId="1" fillId="0" borderId="19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vertical="top"/>
    </xf>
    <xf numFmtId="49" fontId="1" fillId="0" borderId="12" xfId="0" applyNumberFormat="1" applyFont="1" applyBorder="1" applyAlignment="1">
      <alignment vertical="top"/>
    </xf>
    <xf numFmtId="164" fontId="1" fillId="0" borderId="12" xfId="0" applyNumberFormat="1" applyFont="1" applyBorder="1" applyAlignment="1">
      <alignment horizontal="right" vertical="top"/>
    </xf>
    <xf numFmtId="164" fontId="1" fillId="0" borderId="13" xfId="0" applyNumberFormat="1" applyFont="1" applyBorder="1" applyAlignment="1">
      <alignment horizontal="right" vertical="top"/>
    </xf>
    <xf numFmtId="164" fontId="1" fillId="0" borderId="9" xfId="0" applyNumberFormat="1" applyFont="1" applyBorder="1" applyAlignment="1">
      <alignment vertical="top"/>
    </xf>
    <xf numFmtId="169" fontId="22" fillId="0" borderId="0" xfId="0" applyNumberFormat="1" applyFont="1" applyBorder="1" applyAlignment="1">
      <alignment vertical="top"/>
    </xf>
    <xf numFmtId="164" fontId="1" fillId="0" borderId="10" xfId="0" applyNumberFormat="1" applyFont="1" applyBorder="1" applyAlignment="1">
      <alignment vertical="top"/>
    </xf>
    <xf numFmtId="164" fontId="28" fillId="0" borderId="6" xfId="0" applyNumberFormat="1" applyFont="1" applyBorder="1" applyAlignment="1">
      <alignment vertical="top"/>
    </xf>
    <xf numFmtId="49" fontId="1" fillId="0" borderId="9" xfId="0" applyNumberFormat="1" applyFont="1" applyBorder="1" applyAlignment="1">
      <alignment horizontal="right" vertical="top"/>
    </xf>
    <xf numFmtId="169" fontId="22" fillId="0" borderId="11" xfId="0" applyNumberFormat="1" applyFont="1" applyBorder="1" applyAlignment="1">
      <alignment vertical="top"/>
    </xf>
    <xf numFmtId="1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vertical="top"/>
    </xf>
    <xf numFmtId="170" fontId="1" fillId="0" borderId="0" xfId="3" applyNumberFormat="1" applyFont="1" applyFill="1" applyAlignment="1">
      <alignment horizontal="right" vertical="top"/>
    </xf>
    <xf numFmtId="49" fontId="1" fillId="2" borderId="22" xfId="0" applyNumberFormat="1" applyFont="1" applyFill="1" applyBorder="1" applyAlignment="1">
      <alignment vertical="top"/>
    </xf>
    <xf numFmtId="49" fontId="1" fillId="2" borderId="4" xfId="0" applyNumberFormat="1" applyFont="1" applyFill="1" applyBorder="1" applyAlignment="1">
      <alignment horizontal="right" vertical="top"/>
    </xf>
    <xf numFmtId="49" fontId="1" fillId="2" borderId="5" xfId="0" applyNumberFormat="1" applyFont="1" applyFill="1" applyBorder="1" applyAlignment="1">
      <alignment horizontal="right" vertical="top"/>
    </xf>
    <xf numFmtId="49" fontId="1" fillId="2" borderId="21" xfId="0" applyNumberFormat="1" applyFont="1" applyFill="1" applyBorder="1" applyAlignment="1">
      <alignment horizontal="right" vertical="top"/>
    </xf>
    <xf numFmtId="49" fontId="37" fillId="0" borderId="0" xfId="0" applyNumberFormat="1" applyFont="1" applyAlignment="1">
      <alignment vertical="top"/>
    </xf>
    <xf numFmtId="49" fontId="4" fillId="0" borderId="0" xfId="0" applyNumberFormat="1" applyFont="1" applyBorder="1" applyAlignment="1">
      <alignment horizontal="center" vertical="top" wrapText="1"/>
    </xf>
    <xf numFmtId="49" fontId="11" fillId="0" borderId="0" xfId="0" applyNumberFormat="1" applyFont="1" applyAlignment="1">
      <alignment horizontal="center" vertical="top" wrapText="1"/>
    </xf>
    <xf numFmtId="164" fontId="14" fillId="0" borderId="0" xfId="0" applyNumberFormat="1" applyFont="1" applyBorder="1" applyAlignment="1">
      <alignment horizontal="center" vertical="top" wrapText="1"/>
    </xf>
    <xf numFmtId="164" fontId="24" fillId="3" borderId="0" xfId="0" applyNumberFormat="1" applyFont="1" applyFill="1" applyBorder="1" applyAlignment="1">
      <alignment horizontal="center" vertical="top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=@if(G30=0,0,SUM(I197:I222))" TargetMode="External"/><Relationship Id="rId13" Type="http://schemas.openxmlformats.org/officeDocument/2006/relationships/hyperlink" Target="mailto:=@if(H30=0,0,E266)" TargetMode="External"/><Relationship Id="rId18" Type="http://schemas.openxmlformats.org/officeDocument/2006/relationships/hyperlink" Target="mailto:=@if(H30=0,0,SUM(I240:I265))" TargetMode="External"/><Relationship Id="rId3" Type="http://schemas.openxmlformats.org/officeDocument/2006/relationships/hyperlink" Target="mailto:=@if(G30=0,0,E223)" TargetMode="External"/><Relationship Id="rId21" Type="http://schemas.openxmlformats.org/officeDocument/2006/relationships/hyperlink" Target="mailto:=@if(E30=0,0,1026)" TargetMode="External"/><Relationship Id="rId7" Type="http://schemas.openxmlformats.org/officeDocument/2006/relationships/hyperlink" Target="mailto:=@if(G30=0,0,I223-G38)" TargetMode="External"/><Relationship Id="rId12" Type="http://schemas.openxmlformats.org/officeDocument/2006/relationships/hyperlink" Target="mailto:=@if(H30=0,0,SUM(D240:D265))" TargetMode="External"/><Relationship Id="rId17" Type="http://schemas.openxmlformats.org/officeDocument/2006/relationships/hyperlink" Target="mailto:=@if(H30=0,0,I266-H38)" TargetMode="External"/><Relationship Id="rId2" Type="http://schemas.openxmlformats.org/officeDocument/2006/relationships/hyperlink" Target="mailto:=@if(G30=0,0,SUM(D197:D222))" TargetMode="External"/><Relationship Id="rId16" Type="http://schemas.openxmlformats.org/officeDocument/2006/relationships/hyperlink" Target="mailto:=@if(H30=0,0,H266)" TargetMode="External"/><Relationship Id="rId20" Type="http://schemas.openxmlformats.org/officeDocument/2006/relationships/hyperlink" Target="mailto:=@if(H30=0,0,K266)" TargetMode="External"/><Relationship Id="rId1" Type="http://schemas.openxmlformats.org/officeDocument/2006/relationships/hyperlink" Target="mailto:=@if(G30=0,0,D223-G32)" TargetMode="External"/><Relationship Id="rId6" Type="http://schemas.openxmlformats.org/officeDocument/2006/relationships/hyperlink" Target="mailto:=@if(G30=0,0,H223)" TargetMode="External"/><Relationship Id="rId11" Type="http://schemas.openxmlformats.org/officeDocument/2006/relationships/hyperlink" Target="mailto:=@if(H30=0,0,D266-H32)" TargetMode="External"/><Relationship Id="rId24" Type="http://schemas.openxmlformats.org/officeDocument/2006/relationships/comments" Target="../comments1.xml"/><Relationship Id="rId5" Type="http://schemas.openxmlformats.org/officeDocument/2006/relationships/hyperlink" Target="mailto:=@if(G30=0,0,G223)" TargetMode="External"/><Relationship Id="rId15" Type="http://schemas.openxmlformats.org/officeDocument/2006/relationships/hyperlink" Target="mailto:=@if(H30=0,0,G266)" TargetMode="External"/><Relationship Id="rId23" Type="http://schemas.openxmlformats.org/officeDocument/2006/relationships/vmlDrawing" Target="../drawings/vmlDrawing1.vml"/><Relationship Id="rId10" Type="http://schemas.openxmlformats.org/officeDocument/2006/relationships/hyperlink" Target="mailto:=@if(G30=0,0,K223)" TargetMode="External"/><Relationship Id="rId19" Type="http://schemas.openxmlformats.org/officeDocument/2006/relationships/hyperlink" Target="mailto:=@if(H30=0,0,J266)" TargetMode="External"/><Relationship Id="rId4" Type="http://schemas.openxmlformats.org/officeDocument/2006/relationships/hyperlink" Target="mailto:=@if(G30=0,0,F223)" TargetMode="External"/><Relationship Id="rId9" Type="http://schemas.openxmlformats.org/officeDocument/2006/relationships/hyperlink" Target="mailto:=@if(G30=0,0,J223)" TargetMode="External"/><Relationship Id="rId14" Type="http://schemas.openxmlformats.org/officeDocument/2006/relationships/hyperlink" Target="mailto:=@if(H30=0,0,F266)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=@if(K26=0,0,SUM(U152:U177))" TargetMode="External"/><Relationship Id="rId13" Type="http://schemas.openxmlformats.org/officeDocument/2006/relationships/comments" Target="../comments3.xml"/><Relationship Id="rId3" Type="http://schemas.openxmlformats.org/officeDocument/2006/relationships/hyperlink" Target="mailto:=@if(K26=0,0,Q178)" TargetMode="External"/><Relationship Id="rId7" Type="http://schemas.openxmlformats.org/officeDocument/2006/relationships/hyperlink" Target="mailto:=@if(K26=0,0,U178)" TargetMode="External"/><Relationship Id="rId12" Type="http://schemas.openxmlformats.org/officeDocument/2006/relationships/vmlDrawing" Target="../drawings/vmlDrawing3.vml"/><Relationship Id="rId2" Type="http://schemas.openxmlformats.org/officeDocument/2006/relationships/hyperlink" Target="mailto:=@if(K26=0,0,SUM(P152:P177))" TargetMode="External"/><Relationship Id="rId1" Type="http://schemas.openxmlformats.org/officeDocument/2006/relationships/hyperlink" Target="mailto:=@if(K26=0,0,P178-K28)" TargetMode="External"/><Relationship Id="rId6" Type="http://schemas.openxmlformats.org/officeDocument/2006/relationships/hyperlink" Target="mailto:=@if(K26=0,0,T178)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mailto:=@if(K26=0,0,S178)" TargetMode="External"/><Relationship Id="rId10" Type="http://schemas.openxmlformats.org/officeDocument/2006/relationships/hyperlink" Target="mailto:=@if(K26=0,0,W178)" TargetMode="External"/><Relationship Id="rId4" Type="http://schemas.openxmlformats.org/officeDocument/2006/relationships/hyperlink" Target="mailto:=@if(K26=0,0,R178)" TargetMode="External"/><Relationship Id="rId9" Type="http://schemas.openxmlformats.org/officeDocument/2006/relationships/hyperlink" Target="mailto:=@if(K26=0,0,V178)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8"/>
  <sheetViews>
    <sheetView tabSelected="1" zoomScale="70" zoomScaleNormal="70" workbookViewId="0"/>
  </sheetViews>
  <sheetFormatPr defaultColWidth="8.85546875" defaultRowHeight="15.75" x14ac:dyDescent="0.25"/>
  <cols>
    <col min="1" max="1" width="8.85546875" style="9"/>
    <col min="2" max="2" width="30.140625" style="6" customWidth="1"/>
    <col min="3" max="3" width="9.7109375" style="6" customWidth="1"/>
    <col min="4" max="4" width="21.28515625" style="9" customWidth="1"/>
    <col min="5" max="5" width="13.7109375" style="9" customWidth="1"/>
    <col min="6" max="6" width="13.42578125" style="9" customWidth="1"/>
    <col min="7" max="7" width="13.42578125" style="11" customWidth="1"/>
    <col min="8" max="8" width="13.42578125" style="9" customWidth="1"/>
    <col min="9" max="10" width="11.28515625" style="9" customWidth="1"/>
    <col min="11" max="11" width="10.42578125" style="9" customWidth="1"/>
    <col min="12" max="12" width="9.85546875" style="9" customWidth="1"/>
    <col min="13" max="13" width="12.42578125" style="9" customWidth="1"/>
    <col min="14" max="14" width="8.5703125" style="9" customWidth="1"/>
    <col min="15" max="15" width="7.7109375" style="9" customWidth="1"/>
    <col min="16" max="16" width="7.28515625" style="138" customWidth="1"/>
    <col min="17" max="17" width="30" style="9" customWidth="1"/>
    <col min="18" max="18" width="17.28515625" style="9" customWidth="1"/>
    <col min="19" max="19" width="19.7109375" style="9" customWidth="1"/>
    <col min="20" max="20" width="7.85546875" style="9" customWidth="1"/>
    <col min="21" max="21" width="13" style="9" customWidth="1"/>
    <col min="22" max="22" width="13.42578125" style="9" customWidth="1"/>
    <col min="23" max="23" width="13" style="9" customWidth="1"/>
    <col min="24" max="24" width="9" style="9" customWidth="1"/>
    <col min="25" max="25" width="11.28515625" style="9" customWidth="1"/>
    <col min="26" max="26" width="10.5703125" style="9" customWidth="1"/>
    <col min="27" max="27" width="10.85546875" style="9" customWidth="1"/>
    <col min="28" max="29" width="8" style="9" customWidth="1"/>
    <col min="30" max="16384" width="8.85546875" style="9"/>
  </cols>
  <sheetData>
    <row r="1" spans="1:5" ht="16.5" thickBot="1" x14ac:dyDescent="0.3">
      <c r="A1" s="211" t="s">
        <v>294</v>
      </c>
      <c r="B1" s="9"/>
    </row>
    <row r="2" spans="1:5" x14ac:dyDescent="0.25">
      <c r="B2" s="185"/>
      <c r="C2" s="186"/>
      <c r="D2" s="187" t="s">
        <v>117</v>
      </c>
      <c r="E2" s="188" t="s">
        <v>254</v>
      </c>
    </row>
    <row r="3" spans="1:5" x14ac:dyDescent="0.25">
      <c r="B3" s="189" t="s">
        <v>235</v>
      </c>
      <c r="C3" s="60">
        <f>+D3/D7</f>
        <v>0.65338534410699356</v>
      </c>
      <c r="D3" s="190">
        <f>+F65</f>
        <v>4690</v>
      </c>
      <c r="E3" s="191">
        <f>+F67</f>
        <v>4713</v>
      </c>
    </row>
    <row r="4" spans="1:5" x14ac:dyDescent="0.25">
      <c r="B4" s="189" t="s">
        <v>236</v>
      </c>
      <c r="C4" s="60">
        <f>+D4/D7</f>
        <v>0.12371134020618557</v>
      </c>
      <c r="D4" s="190">
        <f>+G65</f>
        <v>888</v>
      </c>
      <c r="E4" s="191">
        <f>+G67</f>
        <v>1152</v>
      </c>
    </row>
    <row r="5" spans="1:5" x14ac:dyDescent="0.25">
      <c r="B5" s="189" t="s">
        <v>237</v>
      </c>
      <c r="C5" s="60">
        <f>+D5/D7</f>
        <v>0.2046531067149624</v>
      </c>
      <c r="D5" s="190">
        <f>+H65</f>
        <v>1469</v>
      </c>
      <c r="E5" s="191">
        <f>+H67</f>
        <v>1525</v>
      </c>
    </row>
    <row r="6" spans="1:5" x14ac:dyDescent="0.25">
      <c r="B6" s="189" t="s">
        <v>238</v>
      </c>
      <c r="C6" s="49">
        <f>+D6/D7</f>
        <v>1.8250208971858455E-2</v>
      </c>
      <c r="D6" s="124">
        <f>+I65</f>
        <v>131</v>
      </c>
      <c r="E6" s="192">
        <f>+I67</f>
        <v>199</v>
      </c>
    </row>
    <row r="7" spans="1:5" x14ac:dyDescent="0.25">
      <c r="B7" s="189" t="s">
        <v>116</v>
      </c>
      <c r="C7" s="61">
        <f>SUM(C3:C6)</f>
        <v>1</v>
      </c>
      <c r="D7" s="190">
        <f>SUM(D3:D6)</f>
        <v>7178</v>
      </c>
      <c r="E7" s="191">
        <f>SUM(E3:E6)</f>
        <v>7589</v>
      </c>
    </row>
    <row r="8" spans="1:5" x14ac:dyDescent="0.25">
      <c r="B8" s="189"/>
      <c r="C8" s="193"/>
      <c r="D8" s="190"/>
      <c r="E8" s="191"/>
    </row>
    <row r="9" spans="1:5" x14ac:dyDescent="0.25">
      <c r="B9" s="189" t="s">
        <v>239</v>
      </c>
      <c r="C9" s="193"/>
      <c r="D9" s="190"/>
      <c r="E9" s="191"/>
    </row>
    <row r="10" spans="1:5" x14ac:dyDescent="0.25">
      <c r="B10" s="189" t="s">
        <v>240</v>
      </c>
      <c r="C10" s="193" t="s">
        <v>241</v>
      </c>
      <c r="D10" s="190">
        <f>+Hoards!F41</f>
        <v>1833</v>
      </c>
      <c r="E10" s="191">
        <f>+Hoards!F42</f>
        <v>1833</v>
      </c>
    </row>
    <row r="11" spans="1:5" x14ac:dyDescent="0.25">
      <c r="B11" s="189" t="s">
        <v>242</v>
      </c>
      <c r="C11" s="193" t="s">
        <v>243</v>
      </c>
      <c r="D11" s="190">
        <f>+Hoards!G41</f>
        <v>156</v>
      </c>
      <c r="E11" s="191">
        <f>+Hoards!G42</f>
        <v>160</v>
      </c>
    </row>
    <row r="12" spans="1:5" x14ac:dyDescent="0.25">
      <c r="B12" s="189" t="s">
        <v>244</v>
      </c>
      <c r="C12" s="193" t="s">
        <v>245</v>
      </c>
      <c r="D12" s="190">
        <f>+Hoards!H41</f>
        <v>1891</v>
      </c>
      <c r="E12" s="191">
        <f>+Hoards!H42</f>
        <v>1891</v>
      </c>
    </row>
    <row r="13" spans="1:5" x14ac:dyDescent="0.25">
      <c r="B13" s="189" t="s">
        <v>246</v>
      </c>
      <c r="C13" s="193"/>
      <c r="D13" s="124">
        <f>+Hoards!I41</f>
        <v>30</v>
      </c>
      <c r="E13" s="192">
        <f>+Hoards!I42</f>
        <v>30</v>
      </c>
    </row>
    <row r="14" spans="1:5" x14ac:dyDescent="0.25">
      <c r="B14" s="189" t="s">
        <v>247</v>
      </c>
      <c r="C14" s="193"/>
      <c r="D14" s="190">
        <f>SUM(D10:D13)</f>
        <v>3910</v>
      </c>
      <c r="E14" s="191">
        <f>SUM(E10:E13)</f>
        <v>3914</v>
      </c>
    </row>
    <row r="15" spans="1:5" x14ac:dyDescent="0.25">
      <c r="B15" s="189" t="s">
        <v>248</v>
      </c>
      <c r="C15" s="193"/>
      <c r="D15" s="190">
        <f>+D7-D14</f>
        <v>3268</v>
      </c>
      <c r="E15" s="191">
        <f>+E7-E14</f>
        <v>3675</v>
      </c>
    </row>
    <row r="16" spans="1:5" x14ac:dyDescent="0.25">
      <c r="B16" s="189" t="s">
        <v>249</v>
      </c>
      <c r="C16" s="193"/>
      <c r="D16" s="190">
        <f>SUM(L62:L64)</f>
        <v>783</v>
      </c>
      <c r="E16" s="191" t="s">
        <v>250</v>
      </c>
    </row>
    <row r="17" spans="2:16" x14ac:dyDescent="0.25">
      <c r="B17" s="189" t="s">
        <v>251</v>
      </c>
      <c r="C17" s="193"/>
      <c r="D17" s="190">
        <f>+D15-D16</f>
        <v>2485</v>
      </c>
      <c r="E17" s="191"/>
    </row>
    <row r="18" spans="2:16" x14ac:dyDescent="0.25">
      <c r="B18" s="189"/>
      <c r="C18" s="193"/>
      <c r="D18" s="190"/>
      <c r="E18" s="191"/>
    </row>
    <row r="19" spans="2:16" ht="16.5" thickBot="1" x14ac:dyDescent="0.3">
      <c r="B19" s="194" t="s">
        <v>252</v>
      </c>
      <c r="C19" s="195" t="s">
        <v>253</v>
      </c>
      <c r="D19" s="196">
        <v>937</v>
      </c>
      <c r="E19" s="197">
        <v>942</v>
      </c>
    </row>
    <row r="20" spans="2:16" x14ac:dyDescent="0.25">
      <c r="B20" s="193"/>
      <c r="C20" s="193"/>
      <c r="D20" s="190"/>
      <c r="E20" s="190"/>
    </row>
    <row r="21" spans="2:16" s="6" customFormat="1" ht="41.45" customHeight="1" x14ac:dyDescent="0.25">
      <c r="B21" s="5" t="s">
        <v>290</v>
      </c>
      <c r="C21" s="5"/>
      <c r="F21" s="7" t="s">
        <v>0</v>
      </c>
      <c r="G21" s="7" t="s">
        <v>1</v>
      </c>
      <c r="H21" s="7" t="s">
        <v>86</v>
      </c>
      <c r="I21" s="7" t="s">
        <v>2</v>
      </c>
      <c r="J21" s="7" t="s">
        <v>116</v>
      </c>
      <c r="P21" s="138"/>
    </row>
    <row r="22" spans="2:16" x14ac:dyDescent="0.25">
      <c r="B22" s="5"/>
      <c r="C22" s="5"/>
      <c r="E22" s="8" t="s">
        <v>134</v>
      </c>
      <c r="F22" s="23">
        <v>41749</v>
      </c>
      <c r="G22" s="23">
        <v>41748</v>
      </c>
      <c r="H22" s="23">
        <v>41748</v>
      </c>
      <c r="I22" s="23">
        <v>41736</v>
      </c>
    </row>
    <row r="23" spans="2:16" ht="16.5" x14ac:dyDescent="0.25">
      <c r="B23" s="5"/>
      <c r="C23" s="5"/>
      <c r="E23" s="122" t="s">
        <v>190</v>
      </c>
      <c r="F23" s="123" t="s">
        <v>191</v>
      </c>
      <c r="G23" s="123" t="s">
        <v>192</v>
      </c>
      <c r="H23" s="123" t="s">
        <v>194</v>
      </c>
      <c r="I23" s="123" t="s">
        <v>193</v>
      </c>
    </row>
    <row r="24" spans="2:16" x14ac:dyDescent="0.25">
      <c r="B24" s="5" t="s">
        <v>263</v>
      </c>
      <c r="C24" s="5"/>
    </row>
    <row r="25" spans="2:16" x14ac:dyDescent="0.25">
      <c r="B25" s="6" t="s">
        <v>132</v>
      </c>
      <c r="E25" s="10"/>
      <c r="F25" s="11"/>
      <c r="H25" s="11"/>
      <c r="I25" s="11">
        <v>1</v>
      </c>
      <c r="J25" s="9">
        <f>SUM(F25:I25)</f>
        <v>1</v>
      </c>
    </row>
    <row r="26" spans="2:16" x14ac:dyDescent="0.25">
      <c r="B26" s="6" t="s">
        <v>133</v>
      </c>
      <c r="E26" s="10"/>
      <c r="F26" s="12"/>
      <c r="G26" s="12"/>
      <c r="H26" s="12"/>
      <c r="I26" s="12">
        <v>2</v>
      </c>
      <c r="J26" s="13">
        <f>SUM(F26:I26)</f>
        <v>2</v>
      </c>
    </row>
    <row r="27" spans="2:16" x14ac:dyDescent="0.25">
      <c r="E27" s="10"/>
      <c r="F27" s="11"/>
      <c r="H27" s="11"/>
      <c r="I27" s="11">
        <f>SUM(I25:I26)</f>
        <v>3</v>
      </c>
      <c r="J27" s="11">
        <f>SUM(J25:J26)</f>
        <v>3</v>
      </c>
    </row>
    <row r="28" spans="2:16" x14ac:dyDescent="0.25">
      <c r="B28" s="5" t="s">
        <v>262</v>
      </c>
      <c r="C28" s="5"/>
      <c r="D28" s="10"/>
      <c r="F28" s="11"/>
      <c r="H28" s="11"/>
    </row>
    <row r="29" spans="2:16" x14ac:dyDescent="0.25">
      <c r="B29" s="5" t="s">
        <v>3</v>
      </c>
      <c r="C29" s="7" t="s">
        <v>256</v>
      </c>
      <c r="D29" s="5" t="s">
        <v>4</v>
      </c>
      <c r="E29" s="14" t="s">
        <v>47</v>
      </c>
      <c r="G29" s="9"/>
      <c r="H29" s="11"/>
      <c r="K29" s="7" t="s">
        <v>177</v>
      </c>
      <c r="L29" s="7" t="s">
        <v>257</v>
      </c>
      <c r="N29" s="7" t="s">
        <v>264</v>
      </c>
    </row>
    <row r="30" spans="2:16" x14ac:dyDescent="0.25">
      <c r="B30" s="1" t="s">
        <v>87</v>
      </c>
      <c r="C30" s="1" t="s">
        <v>196</v>
      </c>
      <c r="D30" s="1" t="s">
        <v>91</v>
      </c>
      <c r="E30" s="1"/>
      <c r="G30" s="9">
        <v>25</v>
      </c>
      <c r="H30" s="11"/>
      <c r="I30" s="9">
        <v>1</v>
      </c>
      <c r="J30" s="9">
        <f t="shared" ref="J30:J47" si="0">SUM(F30:I30)</f>
        <v>26</v>
      </c>
      <c r="K30" s="47">
        <f t="shared" ref="K30:K46" si="1">+J30/J$46</f>
        <v>6.9518716577540107E-2</v>
      </c>
      <c r="L30" s="127">
        <f t="shared" ref="L30:L45" si="2">+J30/C30</f>
        <v>2.3636363636363638</v>
      </c>
      <c r="N30" s="10" t="s">
        <v>273</v>
      </c>
    </row>
    <row r="31" spans="2:16" x14ac:dyDescent="0.25">
      <c r="B31" s="1" t="s">
        <v>88</v>
      </c>
      <c r="C31" s="1" t="s">
        <v>216</v>
      </c>
      <c r="D31" s="1" t="s">
        <v>92</v>
      </c>
      <c r="E31" s="1"/>
      <c r="F31" s="9">
        <v>16</v>
      </c>
      <c r="G31" s="9">
        <f>130-8</f>
        <v>122</v>
      </c>
      <c r="H31" s="11">
        <v>33</v>
      </c>
      <c r="I31" s="9">
        <v>16</v>
      </c>
      <c r="J31" s="9">
        <f t="shared" si="0"/>
        <v>187</v>
      </c>
      <c r="K31" s="47">
        <f t="shared" si="1"/>
        <v>0.5</v>
      </c>
      <c r="L31" s="127">
        <f t="shared" si="2"/>
        <v>8.5</v>
      </c>
      <c r="N31" s="10" t="s">
        <v>274</v>
      </c>
    </row>
    <row r="32" spans="2:16" x14ac:dyDescent="0.25">
      <c r="B32" s="2" t="s">
        <v>89</v>
      </c>
      <c r="C32" s="2" t="s">
        <v>206</v>
      </c>
      <c r="D32" s="2" t="s">
        <v>93</v>
      </c>
      <c r="E32" s="2"/>
      <c r="G32" s="9">
        <v>18</v>
      </c>
      <c r="H32" s="11">
        <v>5</v>
      </c>
      <c r="I32" s="9">
        <v>2</v>
      </c>
      <c r="J32" s="9">
        <f t="shared" si="0"/>
        <v>25</v>
      </c>
      <c r="K32" s="47">
        <f t="shared" si="1"/>
        <v>6.684491978609626E-2</v>
      </c>
      <c r="L32" s="127">
        <f t="shared" si="2"/>
        <v>2.5</v>
      </c>
      <c r="N32" s="10" t="s">
        <v>274</v>
      </c>
    </row>
    <row r="33" spans="2:14" x14ac:dyDescent="0.25">
      <c r="B33" s="2" t="s">
        <v>120</v>
      </c>
      <c r="C33" s="2" t="s">
        <v>202</v>
      </c>
      <c r="D33" s="2" t="s">
        <v>94</v>
      </c>
      <c r="E33" s="2"/>
      <c r="G33" s="9">
        <v>16</v>
      </c>
      <c r="H33" s="11"/>
      <c r="J33" s="9">
        <f t="shared" si="0"/>
        <v>16</v>
      </c>
      <c r="K33" s="47">
        <f t="shared" si="1"/>
        <v>4.2780748663101602E-2</v>
      </c>
      <c r="L33" s="127">
        <f t="shared" si="2"/>
        <v>2.6666666666666665</v>
      </c>
      <c r="N33" s="10" t="s">
        <v>274</v>
      </c>
    </row>
    <row r="34" spans="2:14" ht="27.75" customHeight="1" x14ac:dyDescent="0.25">
      <c r="B34" s="2" t="s">
        <v>130</v>
      </c>
      <c r="C34" s="2" t="s">
        <v>205</v>
      </c>
      <c r="D34" s="2" t="s">
        <v>95</v>
      </c>
      <c r="E34" s="28" t="s">
        <v>163</v>
      </c>
      <c r="F34" s="9">
        <v>2</v>
      </c>
      <c r="G34" s="9">
        <f>23-1</f>
        <v>22</v>
      </c>
      <c r="H34" s="11">
        <v>7</v>
      </c>
      <c r="I34" s="9">
        <v>1</v>
      </c>
      <c r="J34" s="9">
        <f t="shared" si="0"/>
        <v>32</v>
      </c>
      <c r="K34" s="47">
        <f t="shared" si="1"/>
        <v>8.5561497326203204E-2</v>
      </c>
      <c r="L34" s="127">
        <f t="shared" si="2"/>
        <v>3.5555555555555554</v>
      </c>
      <c r="N34" s="10" t="s">
        <v>275</v>
      </c>
    </row>
    <row r="35" spans="2:14" x14ac:dyDescent="0.25">
      <c r="B35" s="1" t="s">
        <v>113</v>
      </c>
      <c r="C35" s="1" t="s">
        <v>216</v>
      </c>
      <c r="D35" s="1" t="s">
        <v>92</v>
      </c>
      <c r="E35" s="1"/>
      <c r="F35" s="9">
        <v>1</v>
      </c>
      <c r="G35" s="9"/>
      <c r="H35" s="11"/>
      <c r="I35" s="9">
        <v>4</v>
      </c>
      <c r="J35" s="9">
        <f t="shared" si="0"/>
        <v>5</v>
      </c>
      <c r="K35" s="47">
        <f t="shared" si="1"/>
        <v>1.3368983957219251E-2</v>
      </c>
      <c r="L35" s="127">
        <f t="shared" si="2"/>
        <v>0.22727272727272727</v>
      </c>
      <c r="N35" s="10" t="s">
        <v>276</v>
      </c>
    </row>
    <row r="36" spans="2:14" x14ac:dyDescent="0.25">
      <c r="B36" s="2" t="s">
        <v>112</v>
      </c>
      <c r="C36" s="2" t="s">
        <v>198</v>
      </c>
      <c r="D36" s="2" t="s">
        <v>96</v>
      </c>
      <c r="E36" s="2"/>
      <c r="G36" s="9"/>
      <c r="H36" s="11"/>
      <c r="I36" s="9">
        <v>1</v>
      </c>
      <c r="J36" s="9">
        <f t="shared" si="0"/>
        <v>1</v>
      </c>
      <c r="K36" s="47">
        <f t="shared" si="1"/>
        <v>2.6737967914438501E-3</v>
      </c>
      <c r="L36" s="127">
        <f t="shared" si="2"/>
        <v>0.5</v>
      </c>
      <c r="N36" s="10" t="s">
        <v>276</v>
      </c>
    </row>
    <row r="37" spans="2:14" x14ac:dyDescent="0.25">
      <c r="B37" s="3" t="s">
        <v>121</v>
      </c>
      <c r="C37" s="3" t="s">
        <v>202</v>
      </c>
      <c r="D37" s="3" t="s">
        <v>97</v>
      </c>
      <c r="E37" s="3"/>
      <c r="G37" s="9"/>
      <c r="H37" s="11"/>
      <c r="J37" s="9">
        <f t="shared" si="0"/>
        <v>0</v>
      </c>
      <c r="K37" s="47">
        <f t="shared" si="1"/>
        <v>0</v>
      </c>
      <c r="L37" s="127">
        <f t="shared" si="2"/>
        <v>0</v>
      </c>
      <c r="N37" s="10" t="s">
        <v>276</v>
      </c>
    </row>
    <row r="38" spans="2:14" x14ac:dyDescent="0.25">
      <c r="B38" s="4" t="s">
        <v>146</v>
      </c>
      <c r="C38" s="4" t="s">
        <v>202</v>
      </c>
      <c r="D38" s="3" t="s">
        <v>97</v>
      </c>
      <c r="E38" s="4"/>
      <c r="G38" s="9"/>
      <c r="H38" s="11"/>
      <c r="J38" s="9">
        <f t="shared" si="0"/>
        <v>0</v>
      </c>
      <c r="K38" s="47">
        <f t="shared" si="1"/>
        <v>0</v>
      </c>
      <c r="L38" s="127">
        <f t="shared" si="2"/>
        <v>0</v>
      </c>
      <c r="N38" s="10" t="s">
        <v>276</v>
      </c>
    </row>
    <row r="39" spans="2:14" x14ac:dyDescent="0.25">
      <c r="B39" s="3" t="s">
        <v>122</v>
      </c>
      <c r="C39" s="3" t="s">
        <v>197</v>
      </c>
      <c r="D39" s="3" t="s">
        <v>98</v>
      </c>
      <c r="E39" s="3"/>
      <c r="G39" s="9">
        <v>7</v>
      </c>
      <c r="H39" s="11"/>
      <c r="I39" s="9">
        <v>1</v>
      </c>
      <c r="J39" s="9">
        <f t="shared" si="0"/>
        <v>8</v>
      </c>
      <c r="K39" s="47">
        <f t="shared" si="1"/>
        <v>2.1390374331550801E-2</v>
      </c>
      <c r="L39" s="127">
        <f t="shared" si="2"/>
        <v>8</v>
      </c>
      <c r="N39" s="10" t="s">
        <v>276</v>
      </c>
    </row>
    <row r="40" spans="2:14" x14ac:dyDescent="0.25">
      <c r="B40" s="1" t="s">
        <v>123</v>
      </c>
      <c r="C40" s="1" t="s">
        <v>203</v>
      </c>
      <c r="D40" s="1" t="s">
        <v>99</v>
      </c>
      <c r="E40" s="1" t="s">
        <v>105</v>
      </c>
      <c r="F40" s="9">
        <v>3</v>
      </c>
      <c r="G40" s="9">
        <f>21-1</f>
        <v>20</v>
      </c>
      <c r="H40" s="11">
        <v>6</v>
      </c>
      <c r="I40" s="9">
        <v>3</v>
      </c>
      <c r="J40" s="9">
        <f t="shared" si="0"/>
        <v>32</v>
      </c>
      <c r="K40" s="47">
        <f t="shared" si="1"/>
        <v>8.5561497326203204E-2</v>
      </c>
      <c r="L40" s="127">
        <f t="shared" si="2"/>
        <v>4.5714285714285712</v>
      </c>
      <c r="N40" s="10" t="s">
        <v>266</v>
      </c>
    </row>
    <row r="41" spans="2:14" x14ac:dyDescent="0.25">
      <c r="B41" s="1" t="s">
        <v>123</v>
      </c>
      <c r="C41" s="1" t="s">
        <v>203</v>
      </c>
      <c r="D41" s="1" t="s">
        <v>99</v>
      </c>
      <c r="E41" s="1" t="s">
        <v>39</v>
      </c>
      <c r="F41" s="9">
        <v>1</v>
      </c>
      <c r="G41" s="9">
        <v>13</v>
      </c>
      <c r="H41" s="11">
        <v>2</v>
      </c>
      <c r="J41" s="9">
        <f t="shared" si="0"/>
        <v>16</v>
      </c>
      <c r="K41" s="47">
        <f t="shared" si="1"/>
        <v>4.2780748663101602E-2</v>
      </c>
      <c r="L41" s="127">
        <f t="shared" si="2"/>
        <v>2.2857142857142856</v>
      </c>
      <c r="N41" s="10" t="s">
        <v>266</v>
      </c>
    </row>
    <row r="42" spans="2:14" x14ac:dyDescent="0.25">
      <c r="B42" s="1" t="s">
        <v>123</v>
      </c>
      <c r="C42" s="1" t="s">
        <v>203</v>
      </c>
      <c r="D42" s="1" t="s">
        <v>99</v>
      </c>
      <c r="E42" s="1" t="s">
        <v>106</v>
      </c>
      <c r="G42" s="9">
        <v>8</v>
      </c>
      <c r="H42" s="11"/>
      <c r="J42" s="9">
        <f t="shared" si="0"/>
        <v>8</v>
      </c>
      <c r="K42" s="47">
        <f t="shared" si="1"/>
        <v>2.1390374331550801E-2</v>
      </c>
      <c r="L42" s="127">
        <f t="shared" si="2"/>
        <v>1.1428571428571428</v>
      </c>
      <c r="N42" s="10" t="s">
        <v>266</v>
      </c>
    </row>
    <row r="43" spans="2:14" x14ac:dyDescent="0.25">
      <c r="B43" s="1" t="s">
        <v>123</v>
      </c>
      <c r="C43" s="1" t="s">
        <v>203</v>
      </c>
      <c r="D43" s="1" t="s">
        <v>99</v>
      </c>
      <c r="E43" s="1" t="s">
        <v>107</v>
      </c>
      <c r="G43" s="9">
        <v>3</v>
      </c>
      <c r="H43" s="11">
        <v>1</v>
      </c>
      <c r="J43" s="9">
        <f t="shared" si="0"/>
        <v>4</v>
      </c>
      <c r="K43" s="47">
        <f t="shared" si="1"/>
        <v>1.06951871657754E-2</v>
      </c>
      <c r="L43" s="127">
        <f t="shared" si="2"/>
        <v>0.5714285714285714</v>
      </c>
      <c r="N43" s="10" t="s">
        <v>266</v>
      </c>
    </row>
    <row r="44" spans="2:14" x14ac:dyDescent="0.25">
      <c r="B44" s="1" t="s">
        <v>123</v>
      </c>
      <c r="C44" s="1" t="s">
        <v>203</v>
      </c>
      <c r="D44" s="1" t="s">
        <v>99</v>
      </c>
      <c r="E44" s="1" t="s">
        <v>108</v>
      </c>
      <c r="G44" s="9">
        <v>3</v>
      </c>
      <c r="H44" s="11">
        <v>2</v>
      </c>
      <c r="I44" s="9">
        <v>2</v>
      </c>
      <c r="J44" s="9">
        <f t="shared" si="0"/>
        <v>7</v>
      </c>
      <c r="K44" s="47">
        <f t="shared" si="1"/>
        <v>1.871657754010695E-2</v>
      </c>
      <c r="L44" s="127">
        <f t="shared" si="2"/>
        <v>1</v>
      </c>
      <c r="N44" s="10" t="s">
        <v>266</v>
      </c>
    </row>
    <row r="45" spans="2:14" x14ac:dyDescent="0.25">
      <c r="B45" s="2" t="s">
        <v>90</v>
      </c>
      <c r="C45" s="2" t="s">
        <v>196</v>
      </c>
      <c r="D45" s="2" t="s">
        <v>104</v>
      </c>
      <c r="E45" s="1" t="s">
        <v>106</v>
      </c>
      <c r="G45" s="9">
        <v>7</v>
      </c>
      <c r="H45" s="12"/>
      <c r="I45" s="13"/>
      <c r="J45" s="13">
        <f t="shared" si="0"/>
        <v>7</v>
      </c>
      <c r="K45" s="49">
        <f t="shared" si="1"/>
        <v>1.871657754010695E-2</v>
      </c>
      <c r="L45" s="127">
        <f t="shared" si="2"/>
        <v>0.63636363636363635</v>
      </c>
      <c r="N45" s="10" t="s">
        <v>266</v>
      </c>
    </row>
    <row r="46" spans="2:14" x14ac:dyDescent="0.25">
      <c r="B46" s="8" t="s">
        <v>147</v>
      </c>
      <c r="C46" s="8"/>
      <c r="D46" s="6"/>
      <c r="E46" s="6"/>
      <c r="F46" s="15">
        <f>SUM(F30:F45)</f>
        <v>23</v>
      </c>
      <c r="G46" s="15">
        <f>SUM(G30:G45)</f>
        <v>264</v>
      </c>
      <c r="H46" s="15">
        <f>SUM(H30:H45)</f>
        <v>56</v>
      </c>
      <c r="I46" s="15">
        <f>SUM(I30:I45)</f>
        <v>31</v>
      </c>
      <c r="J46" s="9">
        <f t="shared" si="0"/>
        <v>374</v>
      </c>
      <c r="K46" s="50">
        <f t="shared" si="1"/>
        <v>1</v>
      </c>
    </row>
    <row r="47" spans="2:14" x14ac:dyDescent="0.25">
      <c r="B47" s="8" t="s">
        <v>128</v>
      </c>
      <c r="C47" s="8"/>
      <c r="D47" s="6"/>
      <c r="E47" s="6"/>
      <c r="F47" s="16"/>
      <c r="G47" s="16"/>
      <c r="H47" s="16"/>
      <c r="I47" s="16">
        <v>34</v>
      </c>
      <c r="J47" s="9">
        <f t="shared" si="0"/>
        <v>34</v>
      </c>
      <c r="M47" s="47"/>
    </row>
    <row r="48" spans="2:14" ht="16.5" thickBot="1" x14ac:dyDescent="0.3">
      <c r="B48" s="8"/>
      <c r="C48" s="8"/>
      <c r="D48" s="6"/>
      <c r="E48" s="6"/>
      <c r="F48" s="16"/>
      <c r="G48" s="16"/>
      <c r="H48" s="16"/>
      <c r="I48" s="16"/>
      <c r="J48" s="47"/>
    </row>
    <row r="49" spans="2:20" ht="20.25" x14ac:dyDescent="0.25">
      <c r="B49" s="5" t="s">
        <v>287</v>
      </c>
      <c r="C49" s="5"/>
      <c r="D49" s="6"/>
      <c r="E49" s="6"/>
      <c r="F49" s="7" t="s">
        <v>0</v>
      </c>
      <c r="G49" s="7" t="s">
        <v>1</v>
      </c>
      <c r="H49" s="7" t="s">
        <v>86</v>
      </c>
      <c r="I49" s="7" t="s">
        <v>2</v>
      </c>
      <c r="J49" s="212" t="s">
        <v>162</v>
      </c>
      <c r="K49" s="212"/>
      <c r="L49" s="213" t="s">
        <v>161</v>
      </c>
      <c r="M49" s="213"/>
      <c r="N49" s="7" t="s">
        <v>264</v>
      </c>
      <c r="O49" s="16"/>
      <c r="P49" s="199"/>
      <c r="Q49" s="201" t="s">
        <v>291</v>
      </c>
      <c r="R49" s="141"/>
    </row>
    <row r="50" spans="2:20" x14ac:dyDescent="0.25">
      <c r="B50" s="5"/>
      <c r="C50" s="5"/>
      <c r="D50" s="6"/>
      <c r="E50" s="207" t="s">
        <v>286</v>
      </c>
      <c r="F50" s="208" t="s">
        <v>197</v>
      </c>
      <c r="G50" s="208" t="s">
        <v>197</v>
      </c>
      <c r="H50" s="208" t="s">
        <v>197</v>
      </c>
      <c r="I50" s="209" t="s">
        <v>197</v>
      </c>
      <c r="J50" s="7" t="s">
        <v>116</v>
      </c>
      <c r="K50" s="48" t="s">
        <v>177</v>
      </c>
      <c r="L50" s="30" t="s">
        <v>116</v>
      </c>
      <c r="M50" s="51" t="s">
        <v>177</v>
      </c>
      <c r="N50" s="7"/>
      <c r="O50" s="16"/>
      <c r="P50" s="199"/>
      <c r="Q50" s="198"/>
      <c r="R50" s="200"/>
    </row>
    <row r="51" spans="2:20" x14ac:dyDescent="0.25">
      <c r="B51" s="6" t="s">
        <v>24</v>
      </c>
      <c r="C51" s="6" t="s">
        <v>226</v>
      </c>
      <c r="D51" s="6" t="s">
        <v>5</v>
      </c>
      <c r="E51" s="6" t="s">
        <v>284</v>
      </c>
      <c r="F51" s="9">
        <f>IF(F50=0,0,Matrices!E89-F52)</f>
        <v>102</v>
      </c>
      <c r="G51" s="9">
        <f>IF(G50=0,0,Matrices!E132-G52)</f>
        <v>84</v>
      </c>
      <c r="H51" s="9">
        <f>IF(H50=0,0,Matrices!E175-H52)</f>
        <v>183</v>
      </c>
      <c r="I51" s="9">
        <f>IF(I50=0,0,Matrices!E218-I52)</f>
        <v>14</v>
      </c>
      <c r="J51" s="9">
        <f t="shared" ref="J51:J65" si="3">SUM(F51:I51)</f>
        <v>383</v>
      </c>
      <c r="K51" s="47">
        <f t="shared" ref="K51:K65" si="4">+J51/J$65</f>
        <v>5.3357481192532738E-2</v>
      </c>
      <c r="L51" s="31">
        <f>+J51-Hoards!J27</f>
        <v>295</v>
      </c>
      <c r="M51" s="52">
        <f t="shared" ref="M51:M65" si="5">+L51/L$65</f>
        <v>9.0269277845777235E-2</v>
      </c>
      <c r="N51" s="8" t="s">
        <v>265</v>
      </c>
      <c r="O51" s="204"/>
      <c r="P51" s="142"/>
      <c r="Q51" s="202" t="s">
        <v>265</v>
      </c>
      <c r="R51" s="143">
        <f>+K51+K57</f>
        <v>5.4750626915575369E-2</v>
      </c>
    </row>
    <row r="52" spans="2:20" x14ac:dyDescent="0.25">
      <c r="D52" s="6"/>
      <c r="E52" s="6" t="s">
        <v>285</v>
      </c>
      <c r="F52" s="9">
        <f>IF(F50=0,0,SUM(Matrices!E63:E88))</f>
        <v>613</v>
      </c>
      <c r="G52" s="9">
        <f>IF(G50=0,0,SUM(Matrices!E106:E131))</f>
        <v>105</v>
      </c>
      <c r="H52" s="9">
        <f>IF(H50=0,0,SUM(Matrices!E149:E174))</f>
        <v>232</v>
      </c>
      <c r="I52" s="9">
        <f>IF(I50=0,0,SUM(Matrices!E192:E217))</f>
        <v>21</v>
      </c>
      <c r="J52" s="9">
        <f t="shared" si="3"/>
        <v>971</v>
      </c>
      <c r="K52" s="47">
        <f t="shared" si="4"/>
        <v>0.1352744497074394</v>
      </c>
      <c r="L52" s="31">
        <f>+J52-Hoards!J28</f>
        <v>435</v>
      </c>
      <c r="M52" s="52">
        <f t="shared" si="5"/>
        <v>0.13310893512851898</v>
      </c>
      <c r="N52" s="8" t="s">
        <v>277</v>
      </c>
      <c r="O52" s="204"/>
      <c r="P52" s="144"/>
      <c r="Q52" s="202" t="s">
        <v>277</v>
      </c>
      <c r="R52" s="143">
        <f>SUM(K52:K55)+SUM(K58:K59)</f>
        <v>0.68807467261075517</v>
      </c>
    </row>
    <row r="53" spans="2:20" x14ac:dyDescent="0.25">
      <c r="B53" s="6" t="s">
        <v>137</v>
      </c>
      <c r="C53" s="6" t="s">
        <v>199</v>
      </c>
      <c r="D53" s="6" t="s">
        <v>114</v>
      </c>
      <c r="E53" s="6"/>
      <c r="F53" s="9">
        <f>IF(F50=0,0,Matrices!F89)</f>
        <v>1882</v>
      </c>
      <c r="G53" s="9">
        <f>IF(G50=0,0,Matrices!F132)</f>
        <v>273</v>
      </c>
      <c r="H53" s="9">
        <f>IF(H50=0,0,Matrices!F175)</f>
        <v>607</v>
      </c>
      <c r="I53" s="9">
        <f>IF(I50=0,0,Matrices!F218)</f>
        <v>40</v>
      </c>
      <c r="J53" s="9">
        <f t="shared" si="3"/>
        <v>2802</v>
      </c>
      <c r="K53" s="47">
        <f t="shared" si="4"/>
        <v>0.39035943159654501</v>
      </c>
      <c r="L53" s="31">
        <f>+J53-Hoards!J29</f>
        <v>1101</v>
      </c>
      <c r="M53" s="52">
        <f t="shared" si="5"/>
        <v>0.33690330477356178</v>
      </c>
      <c r="N53" s="8" t="s">
        <v>277</v>
      </c>
      <c r="O53" s="205"/>
      <c r="P53" s="145"/>
      <c r="Q53" s="202" t="s">
        <v>278</v>
      </c>
      <c r="R53" s="143">
        <f>+K56+K60</f>
        <v>4.0679855112844804E-2</v>
      </c>
    </row>
    <row r="54" spans="2:20" x14ac:dyDescent="0.25">
      <c r="B54" s="6" t="s">
        <v>138</v>
      </c>
      <c r="C54" s="6" t="s">
        <v>197</v>
      </c>
      <c r="D54" s="6" t="s">
        <v>6</v>
      </c>
      <c r="E54" s="6"/>
      <c r="F54" s="9">
        <f>IF(F50=0,0,Matrices!G89)</f>
        <v>82</v>
      </c>
      <c r="G54" s="9">
        <f>IF(G50=0,0,Matrices!G132)</f>
        <v>17</v>
      </c>
      <c r="H54" s="9">
        <f>IF(H50=0,0,Matrices!G175)</f>
        <v>65</v>
      </c>
      <c r="I54" s="9">
        <f>IF(I50=0,0,Matrices!G218)</f>
        <v>7</v>
      </c>
      <c r="J54" s="9">
        <f t="shared" si="3"/>
        <v>171</v>
      </c>
      <c r="K54" s="47">
        <f t="shared" si="4"/>
        <v>2.3822791864028976E-2</v>
      </c>
      <c r="L54" s="31">
        <f>+J54-Hoards!J30</f>
        <v>104</v>
      </c>
      <c r="M54" s="52">
        <f t="shared" si="5"/>
        <v>3.182374541003672E-2</v>
      </c>
      <c r="N54" s="8" t="s">
        <v>277</v>
      </c>
      <c r="O54" s="205"/>
      <c r="P54" s="145"/>
      <c r="Q54" s="202" t="s">
        <v>279</v>
      </c>
      <c r="R54" s="147">
        <f>SUM(K62:K64)</f>
        <v>0.21649484536082475</v>
      </c>
    </row>
    <row r="55" spans="2:20" ht="16.5" thickBot="1" x14ac:dyDescent="0.3">
      <c r="B55" s="6" t="s">
        <v>137</v>
      </c>
      <c r="C55" s="6" t="s">
        <v>203</v>
      </c>
      <c r="D55" s="6" t="s">
        <v>115</v>
      </c>
      <c r="E55" s="6"/>
      <c r="F55" s="9">
        <f>IF(F50=0,0,Matrices!H89)</f>
        <v>527</v>
      </c>
      <c r="G55" s="9">
        <f>IF(G50=0,0,Matrices!H132)</f>
        <v>96</v>
      </c>
      <c r="H55" s="9">
        <f>IF(H50=0,0,Matrices!H175)</f>
        <v>103</v>
      </c>
      <c r="I55" s="9">
        <f>IF(I50=0,0,Matrices!H218)</f>
        <v>14</v>
      </c>
      <c r="J55" s="9">
        <f t="shared" si="3"/>
        <v>740</v>
      </c>
      <c r="K55" s="47">
        <f t="shared" si="4"/>
        <v>0.10309278350515463</v>
      </c>
      <c r="L55" s="31">
        <f>+J55-Hoards!J31</f>
        <v>300</v>
      </c>
      <c r="M55" s="52">
        <f t="shared" si="5"/>
        <v>9.1799265605875147E-2</v>
      </c>
      <c r="N55" s="8" t="s">
        <v>277</v>
      </c>
      <c r="O55" s="205"/>
      <c r="P55" s="145"/>
      <c r="Q55" s="203"/>
      <c r="R55" s="146">
        <f>SUM(R51:R54)</f>
        <v>1</v>
      </c>
    </row>
    <row r="56" spans="2:20" x14ac:dyDescent="0.25">
      <c r="B56" s="6" t="s">
        <v>139</v>
      </c>
      <c r="C56" s="6" t="s">
        <v>213</v>
      </c>
      <c r="D56" s="6" t="s">
        <v>7</v>
      </c>
      <c r="E56" s="6"/>
      <c r="F56" s="9">
        <f>IF(F50=0,0,Matrices!I89)</f>
        <v>150</v>
      </c>
      <c r="G56" s="9">
        <f>IF(G50=0,0,Matrices!I132)</f>
        <v>30</v>
      </c>
      <c r="H56" s="9">
        <f>IF(H50=0,0,Matrices!I175)</f>
        <v>64</v>
      </c>
      <c r="I56" s="9">
        <f>IF(I50=0,0,Matrices!I218)</f>
        <v>2</v>
      </c>
      <c r="J56" s="9">
        <f t="shared" si="3"/>
        <v>246</v>
      </c>
      <c r="K56" s="47">
        <f t="shared" si="4"/>
        <v>3.4271384786848706E-2</v>
      </c>
      <c r="L56" s="31">
        <f>+J56-Hoards!J32</f>
        <v>135</v>
      </c>
      <c r="M56" s="52">
        <f t="shared" si="5"/>
        <v>4.1309669522643817E-2</v>
      </c>
      <c r="N56" s="8" t="s">
        <v>278</v>
      </c>
      <c r="O56" s="137"/>
      <c r="P56" s="139"/>
    </row>
    <row r="57" spans="2:20" x14ac:dyDescent="0.25">
      <c r="B57" s="6" t="s">
        <v>140</v>
      </c>
      <c r="C57" s="6" t="s">
        <v>259</v>
      </c>
      <c r="D57" s="6" t="s">
        <v>8</v>
      </c>
      <c r="E57" s="6" t="s">
        <v>284</v>
      </c>
      <c r="F57" s="9">
        <f>IF(F50=0,0,Matrices!J89-F58)</f>
        <v>10</v>
      </c>
      <c r="G57" s="9">
        <f>IF(G50=0,0,Matrices!J132-G58)</f>
        <v>0</v>
      </c>
      <c r="H57" s="9">
        <f>IF(H50=0,0,Matrices!J175-H58)</f>
        <v>0</v>
      </c>
      <c r="I57" s="9">
        <f>IF(I50=0,0,Matrices!J218-I58)</f>
        <v>0</v>
      </c>
      <c r="J57" s="9">
        <f t="shared" si="3"/>
        <v>10</v>
      </c>
      <c r="K57" s="47">
        <f t="shared" si="4"/>
        <v>1.3931457230426303E-3</v>
      </c>
      <c r="L57" s="31">
        <f>+J57-Hoards!J33</f>
        <v>4</v>
      </c>
      <c r="M57" s="52">
        <f t="shared" si="5"/>
        <v>1.2239902080783353E-3</v>
      </c>
      <c r="N57" s="8" t="s">
        <v>265</v>
      </c>
      <c r="O57" s="137"/>
      <c r="P57" s="139"/>
    </row>
    <row r="58" spans="2:20" x14ac:dyDescent="0.25">
      <c r="D58" s="6"/>
      <c r="E58" s="6" t="s">
        <v>285</v>
      </c>
      <c r="F58" s="9">
        <f>IF(F50=0,0,SUM(Matrices!J63:J88))</f>
        <v>9</v>
      </c>
      <c r="G58" s="9">
        <f>IF(G50=0,0,SUM(Matrices!J106:J131))</f>
        <v>0</v>
      </c>
      <c r="H58" s="9">
        <f>IF(H50=0,0,SUM(Matrices!J149:J174))</f>
        <v>0</v>
      </c>
      <c r="I58" s="9">
        <f>IF(I50=0,0,SUM(Matrices!J192:J217))</f>
        <v>1</v>
      </c>
      <c r="J58" s="9">
        <f t="shared" si="3"/>
        <v>10</v>
      </c>
      <c r="K58" s="47">
        <f t="shared" si="4"/>
        <v>1.3931457230426303E-3</v>
      </c>
      <c r="L58" s="31">
        <f>+J58-Hoards!J34</f>
        <v>4</v>
      </c>
      <c r="M58" s="52">
        <f t="shared" si="5"/>
        <v>1.2239902080783353E-3</v>
      </c>
      <c r="N58" s="8" t="s">
        <v>277</v>
      </c>
      <c r="O58" s="137"/>
      <c r="P58" s="139"/>
    </row>
    <row r="59" spans="2:20" x14ac:dyDescent="0.25">
      <c r="B59" s="6" t="s">
        <v>141</v>
      </c>
      <c r="C59" s="6" t="s">
        <v>208</v>
      </c>
      <c r="D59" s="6" t="s">
        <v>9</v>
      </c>
      <c r="E59" s="6"/>
      <c r="F59" s="9">
        <f>IF(F50=0,0,Matrices!K89)</f>
        <v>234</v>
      </c>
      <c r="G59" s="9">
        <f>IF(G50=0,0,Matrices!K132)</f>
        <v>0</v>
      </c>
      <c r="H59" s="9">
        <f>IF(H50=0,0,Matrices!K175)</f>
        <v>2</v>
      </c>
      <c r="I59" s="9">
        <f>IF(I50=0,0,Matrices!K218)</f>
        <v>9</v>
      </c>
      <c r="J59" s="9">
        <f t="shared" si="3"/>
        <v>245</v>
      </c>
      <c r="K59" s="47">
        <f t="shared" si="4"/>
        <v>3.4132070214544438E-2</v>
      </c>
      <c r="L59" s="31">
        <f>+J59-Hoards!J35</f>
        <v>74</v>
      </c>
      <c r="M59" s="52">
        <f t="shared" si="5"/>
        <v>2.2643818849449205E-2</v>
      </c>
      <c r="N59" s="8" t="s">
        <v>277</v>
      </c>
      <c r="O59" s="137"/>
      <c r="P59" s="139"/>
    </row>
    <row r="60" spans="2:20" x14ac:dyDescent="0.25">
      <c r="B60" s="6" t="s">
        <v>142</v>
      </c>
      <c r="C60" s="6" t="s">
        <v>260</v>
      </c>
      <c r="D60" s="6" t="s">
        <v>10</v>
      </c>
      <c r="E60" s="6"/>
      <c r="F60" s="13">
        <f>IF(F50=0,0,Matrices!L89)</f>
        <v>46</v>
      </c>
      <c r="G60" s="13">
        <f>IF(G50=0,0,Matrices!L132)</f>
        <v>0</v>
      </c>
      <c r="H60" s="13">
        <f>IF(H50=0,0,Matrices!L175)</f>
        <v>0</v>
      </c>
      <c r="I60" s="13">
        <f>IF(I50=0,0,Matrices!L218)</f>
        <v>0</v>
      </c>
      <c r="J60" s="13">
        <f t="shared" si="3"/>
        <v>46</v>
      </c>
      <c r="K60" s="49">
        <f t="shared" si="4"/>
        <v>6.4084703259960994E-3</v>
      </c>
      <c r="L60" s="32">
        <f>+J60-Hoards!J36</f>
        <v>33</v>
      </c>
      <c r="M60" s="53">
        <f t="shared" si="5"/>
        <v>1.0097919216646267E-2</v>
      </c>
      <c r="N60" s="8" t="s">
        <v>278</v>
      </c>
      <c r="O60" s="137"/>
      <c r="P60" s="139"/>
    </row>
    <row r="61" spans="2:20" x14ac:dyDescent="0.25">
      <c r="B61" s="8" t="s">
        <v>119</v>
      </c>
      <c r="C61" s="8"/>
      <c r="D61" s="6"/>
      <c r="E61" s="6"/>
      <c r="F61" s="9">
        <f>SUM(F51:F60)</f>
        <v>3655</v>
      </c>
      <c r="G61" s="9">
        <f>SUM(G51:G60)</f>
        <v>605</v>
      </c>
      <c r="H61" s="9">
        <f>SUM(H51:H60)</f>
        <v>1256</v>
      </c>
      <c r="I61" s="9">
        <f>SUM(I51:I60)</f>
        <v>108</v>
      </c>
      <c r="J61" s="9">
        <f t="shared" si="3"/>
        <v>5624</v>
      </c>
      <c r="K61" s="47">
        <f t="shared" si="4"/>
        <v>0.78350515463917525</v>
      </c>
      <c r="L61" s="31">
        <f>+J61-Hoards!J37</f>
        <v>2485</v>
      </c>
      <c r="M61" s="52">
        <f t="shared" si="5"/>
        <v>0.76040391676866581</v>
      </c>
      <c r="N61" s="8"/>
      <c r="O61" s="137"/>
      <c r="P61" s="139"/>
    </row>
    <row r="62" spans="2:20" x14ac:dyDescent="0.25">
      <c r="B62" s="6" t="s">
        <v>131</v>
      </c>
      <c r="D62" s="6"/>
      <c r="E62" s="6"/>
      <c r="F62" s="9">
        <f>IF(F50=0,0,1026)</f>
        <v>1026</v>
      </c>
      <c r="G62" s="9">
        <f>IF(G50=0,0,283)</f>
        <v>283</v>
      </c>
      <c r="H62" s="9">
        <f>IF(H50=0,0,213)</f>
        <v>213</v>
      </c>
      <c r="I62" s="9">
        <f>IF(I50=0,0,23)</f>
        <v>23</v>
      </c>
      <c r="J62" s="9">
        <f t="shared" si="3"/>
        <v>1545</v>
      </c>
      <c r="K62" s="47">
        <f t="shared" si="4"/>
        <v>0.21524101421008637</v>
      </c>
      <c r="L62" s="31">
        <f>+J62-Hoards!J38</f>
        <v>774</v>
      </c>
      <c r="M62" s="52">
        <f t="shared" si="5"/>
        <v>0.23684210526315788</v>
      </c>
      <c r="N62" s="8" t="s">
        <v>279</v>
      </c>
      <c r="O62" s="137"/>
      <c r="P62" s="139"/>
    </row>
    <row r="63" spans="2:20" x14ac:dyDescent="0.25">
      <c r="B63" s="6" t="s">
        <v>110</v>
      </c>
      <c r="D63" s="6"/>
      <c r="E63" s="6"/>
      <c r="F63" s="16">
        <f>IF(F50=0,0,7)</f>
        <v>7</v>
      </c>
      <c r="G63" s="9"/>
      <c r="J63" s="9">
        <f t="shared" si="3"/>
        <v>7</v>
      </c>
      <c r="K63" s="47">
        <f t="shared" si="4"/>
        <v>9.752020061298412E-4</v>
      </c>
      <c r="L63" s="31">
        <f>+J63-Hoards!J39</f>
        <v>7</v>
      </c>
      <c r="M63" s="52">
        <f t="shared" si="5"/>
        <v>2.1419828641370867E-3</v>
      </c>
      <c r="N63" s="8"/>
      <c r="O63" s="137"/>
      <c r="P63" s="139"/>
    </row>
    <row r="64" spans="2:20" ht="24.75" x14ac:dyDescent="0.15">
      <c r="B64" s="6" t="s">
        <v>111</v>
      </c>
      <c r="D64" s="6"/>
      <c r="E64" s="6"/>
      <c r="F64" s="9">
        <f>IF(F50=0,0,2)</f>
        <v>2</v>
      </c>
      <c r="G64" s="9"/>
      <c r="J64" s="9">
        <f t="shared" si="3"/>
        <v>2</v>
      </c>
      <c r="K64" s="49">
        <f t="shared" si="4"/>
        <v>2.7862914460852607E-4</v>
      </c>
      <c r="L64" s="32">
        <f>+J64-Hoards!J40</f>
        <v>2</v>
      </c>
      <c r="M64" s="53">
        <f t="shared" si="5"/>
        <v>6.1199510403916763E-4</v>
      </c>
      <c r="N64" s="8"/>
      <c r="O64" s="6"/>
      <c r="P64" s="139"/>
      <c r="Q64" s="112" t="s">
        <v>292</v>
      </c>
      <c r="R64" s="113" t="s">
        <v>116</v>
      </c>
      <c r="S64" s="125" t="s">
        <v>184</v>
      </c>
      <c r="T64" s="126" t="s">
        <v>255</v>
      </c>
    </row>
    <row r="65" spans="2:20" x14ac:dyDescent="0.25">
      <c r="B65" s="8" t="s">
        <v>117</v>
      </c>
      <c r="C65" s="8"/>
      <c r="D65" s="6"/>
      <c r="E65" s="6"/>
      <c r="F65" s="15">
        <f>SUM(F61:F64)</f>
        <v>4690</v>
      </c>
      <c r="G65" s="15">
        <f>SUM(G61:G64)</f>
        <v>888</v>
      </c>
      <c r="H65" s="15">
        <f>SUM(H61:H64)</f>
        <v>1469</v>
      </c>
      <c r="I65" s="15">
        <f>SUM(I61:I64)</f>
        <v>131</v>
      </c>
      <c r="J65" s="15">
        <f t="shared" si="3"/>
        <v>7178</v>
      </c>
      <c r="K65" s="50">
        <f t="shared" si="4"/>
        <v>1</v>
      </c>
      <c r="L65" s="32">
        <f>+J65-Hoards!J41</f>
        <v>3268</v>
      </c>
      <c r="M65" s="54">
        <f t="shared" si="5"/>
        <v>1</v>
      </c>
      <c r="N65" s="8"/>
      <c r="O65" s="6"/>
      <c r="P65" s="139"/>
      <c r="Q65" s="109" t="s">
        <v>293</v>
      </c>
      <c r="R65" s="16">
        <f>+J65</f>
        <v>7178</v>
      </c>
      <c r="S65" s="16">
        <f>SUM(J62:J64)</f>
        <v>1554</v>
      </c>
      <c r="T65" s="110">
        <f>+R65-S65</f>
        <v>5624</v>
      </c>
    </row>
    <row r="66" spans="2:20" x14ac:dyDescent="0.25">
      <c r="B66" s="77" t="s">
        <v>177</v>
      </c>
      <c r="C66" s="77"/>
      <c r="D66" s="78"/>
      <c r="E66" s="78"/>
      <c r="F66" s="76">
        <f>+F65/$J65</f>
        <v>0.65338534410699356</v>
      </c>
      <c r="G66" s="76">
        <f>+G65/$J65</f>
        <v>0.12371134020618557</v>
      </c>
      <c r="H66" s="76">
        <f>+H65/$J65</f>
        <v>0.2046531067149624</v>
      </c>
      <c r="I66" s="76">
        <f>+I65/$J65</f>
        <v>1.8250208971858455E-2</v>
      </c>
      <c r="J66" s="76">
        <f>+J65/$J65</f>
        <v>1</v>
      </c>
      <c r="K66" s="60"/>
      <c r="L66" s="33"/>
      <c r="M66" s="76"/>
      <c r="N66" s="7"/>
      <c r="O66" s="5"/>
      <c r="P66" s="139"/>
      <c r="Q66" s="109" t="s">
        <v>234</v>
      </c>
      <c r="R66" s="16">
        <f>+Hoards!J41</f>
        <v>3910</v>
      </c>
      <c r="S66" s="16">
        <f>SUM(Hoards!J38:J40)</f>
        <v>771</v>
      </c>
      <c r="T66" s="110">
        <f>+R66-S66</f>
        <v>3139</v>
      </c>
    </row>
    <row r="67" spans="2:20" ht="16.5" thickBot="1" x14ac:dyDescent="0.3">
      <c r="B67" s="8" t="s">
        <v>129</v>
      </c>
      <c r="C67" s="8"/>
      <c r="D67" s="6"/>
      <c r="E67" s="6"/>
      <c r="F67" s="17">
        <f>+F65+F27+F46+F47</f>
        <v>4713</v>
      </c>
      <c r="G67" s="17">
        <f>+G65+G27+G46+G47</f>
        <v>1152</v>
      </c>
      <c r="H67" s="17">
        <f>+H65+H27+H46+H47</f>
        <v>1525</v>
      </c>
      <c r="I67" s="17">
        <f>+I65+I27+I46+I47</f>
        <v>199</v>
      </c>
      <c r="J67" s="17">
        <f>+J65+J27+J46+J47</f>
        <v>7589</v>
      </c>
      <c r="L67" s="31">
        <f>+J67-Hoards!J42</f>
        <v>3675</v>
      </c>
      <c r="M67" s="5"/>
      <c r="N67" s="7"/>
      <c r="O67" s="5"/>
      <c r="P67" s="139"/>
      <c r="Q67" s="111" t="s">
        <v>233</v>
      </c>
      <c r="R67" s="114">
        <f>+R65-R66</f>
        <v>3268</v>
      </c>
      <c r="S67" s="114">
        <f>+S65-S66</f>
        <v>783</v>
      </c>
      <c r="T67" s="115">
        <f>+T65-T66</f>
        <v>2485</v>
      </c>
    </row>
    <row r="68" spans="2:20" ht="16.5" thickTop="1" x14ac:dyDescent="0.25">
      <c r="B68" s="8"/>
      <c r="C68" s="8"/>
      <c r="D68" s="6"/>
      <c r="E68" s="6"/>
      <c r="F68" s="16"/>
      <c r="G68" s="16"/>
      <c r="H68" s="16"/>
      <c r="I68" s="16"/>
      <c r="J68" s="47"/>
    </row>
  </sheetData>
  <sortState ref="B223:N259">
    <sortCondition ref="C223:C259"/>
  </sortState>
  <mergeCells count="2">
    <mergeCell ref="J49:K49"/>
    <mergeCell ref="L49:M49"/>
  </mergeCells>
  <hyperlinks>
    <hyperlink ref="H51" r:id="rId1" display="=@if(G30=0,0,D223-G32)"/>
    <hyperlink ref="H52" r:id="rId2" display="=@if(G30=0,0,SUM(D197:D222))"/>
    <hyperlink ref="H53" r:id="rId3" display="=@if(G30=0,0,E223)"/>
    <hyperlink ref="H54" r:id="rId4" display="=@if(G30=0,0,F223)"/>
    <hyperlink ref="H55" r:id="rId5" display="=@if(G30=0,0,G223)"/>
    <hyperlink ref="H56" r:id="rId6" display="=@if(G30=0,0,H223)"/>
    <hyperlink ref="H57" r:id="rId7" display="=@if(G30=0,0,I223-G38)"/>
    <hyperlink ref="H58" r:id="rId8" display="=@if(G30=0,0,SUM(I197:I222))"/>
    <hyperlink ref="H59" r:id="rId9" display="=@if(G30=0,0,J223)"/>
    <hyperlink ref="H60" r:id="rId10" display="=@if(G30=0,0,K223)"/>
    <hyperlink ref="I51" r:id="rId11" display="=@if(H30=0,0,D266-H32)"/>
    <hyperlink ref="I52" r:id="rId12" display="=@if(H30=0,0,SUM(D240:D265))"/>
    <hyperlink ref="I53" r:id="rId13" display="=@if(H30=0,0,E266)"/>
    <hyperlink ref="I54" r:id="rId14" display="=@if(H30=0,0,F266)"/>
    <hyperlink ref="I55" r:id="rId15" display="=@if(H30=0,0,G266)"/>
    <hyperlink ref="I56" r:id="rId16" display="=@if(H30=0,0,H266)"/>
    <hyperlink ref="I57" r:id="rId17" display="=@if(H30=0,0,I266-H38)"/>
    <hyperlink ref="I58" r:id="rId18" display="=@if(H30=0,0,SUM(I240:I265))"/>
    <hyperlink ref="I59" r:id="rId19" display="=@if(H30=0,0,J266)"/>
    <hyperlink ref="I60" r:id="rId20" display="=@if(H30=0,0,K266)"/>
    <hyperlink ref="F62" r:id="rId21" display="=@if(E30=0,0,1026)"/>
  </hyperlinks>
  <pageMargins left="0.7" right="0.7" top="0.75" bottom="0.75" header="0.3" footer="0.3"/>
  <pageSetup paperSize="9" orientation="portrait" verticalDpi="0" r:id="rId22"/>
  <legacyDrawing r:id="rId2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20"/>
  <sheetViews>
    <sheetView zoomScale="70" zoomScaleNormal="70" workbookViewId="0"/>
  </sheetViews>
  <sheetFormatPr defaultRowHeight="15" x14ac:dyDescent="0.25"/>
  <cols>
    <col min="1" max="1" width="2.28515625" customWidth="1"/>
    <col min="2" max="2" width="29.140625" customWidth="1"/>
    <col min="3" max="3" width="3.28515625" bestFit="1" customWidth="1"/>
    <col min="4" max="4" width="19.7109375" bestFit="1" customWidth="1"/>
    <col min="5" max="5" width="9.28515625" bestFit="1" customWidth="1"/>
    <col min="6" max="6" width="13" bestFit="1" customWidth="1"/>
    <col min="7" max="8" width="13.42578125" bestFit="1" customWidth="1"/>
    <col min="9" max="9" width="9" bestFit="1" customWidth="1"/>
    <col min="10" max="10" width="11.28515625" bestFit="1" customWidth="1"/>
    <col min="11" max="11" width="10.5703125" bestFit="1" customWidth="1"/>
    <col min="12" max="12" width="10.85546875" bestFit="1" customWidth="1"/>
    <col min="13" max="14" width="8" bestFit="1" customWidth="1"/>
    <col min="15" max="16" width="4.85546875" bestFit="1" customWidth="1"/>
    <col min="17" max="17" width="17.7109375" customWidth="1"/>
    <col min="18" max="18" width="9.28515625" bestFit="1" customWidth="1"/>
    <col min="19" max="19" width="19.7109375" bestFit="1" customWidth="1"/>
    <col min="20" max="20" width="11.7109375" bestFit="1" customWidth="1"/>
    <col min="21" max="21" width="13" bestFit="1" customWidth="1"/>
    <col min="22" max="22" width="13.42578125" bestFit="1" customWidth="1"/>
    <col min="23" max="23" width="13" bestFit="1" customWidth="1"/>
    <col min="24" max="24" width="9" bestFit="1" customWidth="1"/>
    <col min="25" max="25" width="11.28515625" bestFit="1" customWidth="1"/>
    <col min="26" max="26" width="10.5703125" bestFit="1" customWidth="1"/>
    <col min="27" max="27" width="10.85546875" bestFit="1" customWidth="1"/>
    <col min="28" max="29" width="8" bestFit="1" customWidth="1"/>
  </cols>
  <sheetData>
    <row r="1" spans="1:29" s="9" customFormat="1" ht="15.75" x14ac:dyDescent="0.25">
      <c r="A1" s="211" t="s">
        <v>280</v>
      </c>
      <c r="C1" s="5"/>
      <c r="G1" s="11"/>
      <c r="N1" s="10"/>
      <c r="P1" s="138"/>
      <c r="Q1" s="85" t="s">
        <v>281</v>
      </c>
      <c r="R1" s="86"/>
      <c r="S1" s="86"/>
      <c r="T1" s="87"/>
      <c r="U1" s="86"/>
      <c r="V1" s="86"/>
      <c r="W1" s="86"/>
      <c r="X1" s="86"/>
      <c r="Y1" s="86"/>
      <c r="Z1" s="86"/>
      <c r="AA1" s="86"/>
      <c r="AB1" s="88"/>
    </row>
    <row r="2" spans="1:29" s="9" customFormat="1" ht="19.149999999999999" customHeight="1" x14ac:dyDescent="0.25">
      <c r="B2" s="19" t="s">
        <v>135</v>
      </c>
      <c r="C2" s="19"/>
      <c r="D2" s="19" t="s">
        <v>187</v>
      </c>
      <c r="E2" s="214" t="s">
        <v>171</v>
      </c>
      <c r="F2" s="214"/>
      <c r="G2" s="214"/>
      <c r="H2" s="214"/>
      <c r="I2" s="214"/>
      <c r="J2" s="214"/>
      <c r="K2" s="214"/>
      <c r="L2" s="214"/>
      <c r="M2" s="214"/>
      <c r="N2" s="214"/>
      <c r="P2" s="138"/>
      <c r="Q2" s="89" t="s">
        <v>187</v>
      </c>
      <c r="R2" s="215" t="s">
        <v>172</v>
      </c>
      <c r="S2" s="215"/>
      <c r="T2" s="215"/>
      <c r="U2" s="215"/>
      <c r="V2" s="215"/>
      <c r="W2" s="215"/>
      <c r="X2" s="215"/>
      <c r="Y2" s="215"/>
      <c r="Z2" s="215"/>
      <c r="AA2" s="215"/>
      <c r="AB2" s="90"/>
    </row>
    <row r="3" spans="1:29" s="9" customFormat="1" ht="65.25" x14ac:dyDescent="0.25">
      <c r="B3" s="18" t="s">
        <v>136</v>
      </c>
      <c r="C3" s="18"/>
      <c r="D3" s="180" t="s">
        <v>188</v>
      </c>
      <c r="E3" s="7" t="s">
        <v>24</v>
      </c>
      <c r="F3" s="7" t="s">
        <v>137</v>
      </c>
      <c r="G3" s="7" t="s">
        <v>138</v>
      </c>
      <c r="H3" s="7" t="s">
        <v>137</v>
      </c>
      <c r="I3" s="7" t="s">
        <v>139</v>
      </c>
      <c r="J3" s="7" t="s">
        <v>143</v>
      </c>
      <c r="K3" s="7" t="s">
        <v>144</v>
      </c>
      <c r="L3" s="7" t="s">
        <v>145</v>
      </c>
      <c r="M3" s="7" t="s">
        <v>116</v>
      </c>
      <c r="N3" s="7" t="s">
        <v>177</v>
      </c>
      <c r="O3" s="48" t="s">
        <v>189</v>
      </c>
      <c r="P3" s="138"/>
      <c r="Q3" s="121" t="s">
        <v>188</v>
      </c>
      <c r="R3" s="120" t="s">
        <v>24</v>
      </c>
      <c r="S3" s="120" t="s">
        <v>137</v>
      </c>
      <c r="T3" s="120" t="s">
        <v>138</v>
      </c>
      <c r="U3" s="120" t="s">
        <v>137</v>
      </c>
      <c r="V3" s="120" t="s">
        <v>139</v>
      </c>
      <c r="W3" s="120" t="s">
        <v>143</v>
      </c>
      <c r="X3" s="120" t="s">
        <v>144</v>
      </c>
      <c r="Y3" s="120" t="s">
        <v>145</v>
      </c>
      <c r="Z3" s="120" t="s">
        <v>116</v>
      </c>
      <c r="AA3" s="92" t="s">
        <v>177</v>
      </c>
      <c r="AB3" s="93" t="s">
        <v>189</v>
      </c>
    </row>
    <row r="4" spans="1:29" s="9" customFormat="1" ht="15.75" x14ac:dyDescent="0.25">
      <c r="B4" s="7" t="s">
        <v>264</v>
      </c>
      <c r="C4" s="18"/>
      <c r="D4" s="82"/>
      <c r="E4" s="7" t="s">
        <v>283</v>
      </c>
      <c r="F4" s="7" t="s">
        <v>277</v>
      </c>
      <c r="G4" s="7" t="s">
        <v>277</v>
      </c>
      <c r="H4" s="7" t="s">
        <v>277</v>
      </c>
      <c r="I4" s="7" t="s">
        <v>278</v>
      </c>
      <c r="J4" s="7" t="s">
        <v>283</v>
      </c>
      <c r="K4" s="7" t="s">
        <v>277</v>
      </c>
      <c r="L4" s="7" t="s">
        <v>278</v>
      </c>
      <c r="M4" s="7"/>
      <c r="N4" s="7"/>
      <c r="O4" s="48"/>
      <c r="P4" s="138"/>
      <c r="Q4" s="184" t="s">
        <v>264</v>
      </c>
      <c r="R4" s="92" t="s">
        <v>283</v>
      </c>
      <c r="S4" s="92" t="s">
        <v>277</v>
      </c>
      <c r="T4" s="92" t="s">
        <v>277</v>
      </c>
      <c r="U4" s="92" t="s">
        <v>277</v>
      </c>
      <c r="V4" s="92" t="s">
        <v>278</v>
      </c>
      <c r="W4" s="92" t="s">
        <v>283</v>
      </c>
      <c r="X4" s="92" t="s">
        <v>277</v>
      </c>
      <c r="Y4" s="92" t="s">
        <v>278</v>
      </c>
      <c r="Z4" s="120"/>
      <c r="AA4" s="92"/>
      <c r="AB4" s="93"/>
    </row>
    <row r="5" spans="1:29" s="9" customFormat="1" ht="15.75" x14ac:dyDescent="0.25">
      <c r="B5" s="6" t="s">
        <v>62</v>
      </c>
      <c r="C5" s="108" t="s">
        <v>197</v>
      </c>
      <c r="D5" s="82" t="s">
        <v>27</v>
      </c>
      <c r="E5" s="81">
        <f t="shared" ref="E5:L14" si="0">+E52+E95+E138+E181</f>
        <v>2</v>
      </c>
      <c r="F5" s="9">
        <f t="shared" si="0"/>
        <v>0</v>
      </c>
      <c r="G5" s="9">
        <f t="shared" si="0"/>
        <v>0</v>
      </c>
      <c r="H5" s="9">
        <f t="shared" si="0"/>
        <v>0</v>
      </c>
      <c r="I5" s="9">
        <f t="shared" si="0"/>
        <v>1</v>
      </c>
      <c r="J5" s="9">
        <f t="shared" si="0"/>
        <v>0</v>
      </c>
      <c r="K5" s="9">
        <f t="shared" si="0"/>
        <v>0</v>
      </c>
      <c r="L5" s="9">
        <f t="shared" si="0"/>
        <v>0</v>
      </c>
      <c r="M5" s="9">
        <f t="shared" ref="M5:M41" si="1">SUM(E5:L5)</f>
        <v>3</v>
      </c>
      <c r="N5" s="57">
        <f t="shared" ref="N5:N41" si="2">+M5/M$42</f>
        <v>5.3342816500711243E-4</v>
      </c>
      <c r="O5" s="9">
        <v>1</v>
      </c>
      <c r="P5" s="140" t="s">
        <v>197</v>
      </c>
      <c r="Q5" s="91" t="s">
        <v>27</v>
      </c>
      <c r="R5" s="98">
        <f>+E5-'Hoard matrices'!E4</f>
        <v>2</v>
      </c>
      <c r="S5" s="95">
        <f>+F5-'Hoard matrices'!F4</f>
        <v>0</v>
      </c>
      <c r="T5" s="95">
        <f>+G5-'Hoard matrices'!G4</f>
        <v>0</v>
      </c>
      <c r="U5" s="95">
        <f>+H5-'Hoard matrices'!H4</f>
        <v>0</v>
      </c>
      <c r="V5" s="95">
        <f>+I5-'Hoard matrices'!I4</f>
        <v>1</v>
      </c>
      <c r="W5" s="98">
        <f>+J5-'Hoard matrices'!J4</f>
        <v>0</v>
      </c>
      <c r="X5" s="95">
        <f>+K5-'Hoard matrices'!K4</f>
        <v>0</v>
      </c>
      <c r="Y5" s="95">
        <f>+L5-'Hoard matrices'!L4</f>
        <v>0</v>
      </c>
      <c r="Z5" s="95">
        <f>+M5-'Hoard matrices'!M4</f>
        <v>3</v>
      </c>
      <c r="AA5" s="96">
        <f t="shared" ref="AA5:AA41" si="3">+Z5/Z$42</f>
        <v>1.2072434607645875E-3</v>
      </c>
      <c r="AB5" s="90">
        <v>1</v>
      </c>
      <c r="AC5" s="9">
        <f t="shared" ref="AC5:AC40" si="4">+O5-AB5</f>
        <v>0</v>
      </c>
    </row>
    <row r="6" spans="1:29" s="9" customFormat="1" ht="15.75" x14ac:dyDescent="0.25">
      <c r="B6" s="6" t="s">
        <v>63</v>
      </c>
      <c r="C6" s="108" t="s">
        <v>198</v>
      </c>
      <c r="D6" s="82" t="s">
        <v>28</v>
      </c>
      <c r="E6" s="81">
        <f t="shared" si="0"/>
        <v>1</v>
      </c>
      <c r="F6" s="9">
        <f t="shared" si="0"/>
        <v>1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81">
        <f t="shared" si="0"/>
        <v>6</v>
      </c>
      <c r="K6" s="9">
        <f t="shared" si="0"/>
        <v>63</v>
      </c>
      <c r="L6" s="9">
        <f t="shared" si="0"/>
        <v>0</v>
      </c>
      <c r="M6" s="9">
        <f t="shared" si="1"/>
        <v>71</v>
      </c>
      <c r="N6" s="57">
        <f t="shared" si="2"/>
        <v>1.2624466571834993E-2</v>
      </c>
      <c r="O6" s="9">
        <v>3</v>
      </c>
      <c r="P6" s="140" t="s">
        <v>198</v>
      </c>
      <c r="Q6" s="91" t="s">
        <v>28</v>
      </c>
      <c r="R6" s="98">
        <f>+E6-'Hoard matrices'!E5</f>
        <v>1</v>
      </c>
      <c r="S6" s="95">
        <f>+F6-'Hoard matrices'!F5</f>
        <v>0</v>
      </c>
      <c r="T6" s="95">
        <f>+G6-'Hoard matrices'!G5</f>
        <v>0</v>
      </c>
      <c r="U6" s="95">
        <f>+H6-'Hoard matrices'!H5</f>
        <v>0</v>
      </c>
      <c r="V6" s="95">
        <f>+I6-'Hoard matrices'!I5</f>
        <v>0</v>
      </c>
      <c r="W6" s="98">
        <f>+J6-'Hoard matrices'!J5</f>
        <v>1</v>
      </c>
      <c r="X6" s="95">
        <f>+K6-'Hoard matrices'!K5</f>
        <v>27</v>
      </c>
      <c r="Y6" s="95">
        <f>+L6-'Hoard matrices'!L5</f>
        <v>0</v>
      </c>
      <c r="Z6" s="95">
        <f t="shared" ref="Z6:Z41" si="5">SUM(R6:Y6)</f>
        <v>29</v>
      </c>
      <c r="AA6" s="96">
        <f t="shared" si="3"/>
        <v>1.1670020120724347E-2</v>
      </c>
      <c r="AB6" s="90">
        <v>3</v>
      </c>
      <c r="AC6" s="9">
        <f t="shared" si="4"/>
        <v>0</v>
      </c>
    </row>
    <row r="7" spans="1:29" s="9" customFormat="1" ht="15.75" x14ac:dyDescent="0.25">
      <c r="B7" s="6" t="s">
        <v>53</v>
      </c>
      <c r="C7" s="108" t="s">
        <v>213</v>
      </c>
      <c r="D7" s="82" t="s">
        <v>18</v>
      </c>
      <c r="E7" s="81">
        <f t="shared" si="0"/>
        <v>4</v>
      </c>
      <c r="F7" s="117">
        <f t="shared" si="0"/>
        <v>1</v>
      </c>
      <c r="G7" s="9">
        <f t="shared" si="0"/>
        <v>0</v>
      </c>
      <c r="H7" s="9">
        <f t="shared" si="0"/>
        <v>0</v>
      </c>
      <c r="I7" s="9">
        <f t="shared" si="0"/>
        <v>0</v>
      </c>
      <c r="J7" s="9">
        <f t="shared" si="0"/>
        <v>0</v>
      </c>
      <c r="K7" s="9">
        <f t="shared" si="0"/>
        <v>0</v>
      </c>
      <c r="L7" s="9">
        <f t="shared" si="0"/>
        <v>0</v>
      </c>
      <c r="M7" s="9">
        <f t="shared" si="1"/>
        <v>5</v>
      </c>
      <c r="N7" s="57">
        <f t="shared" si="2"/>
        <v>8.8904694167852064E-4</v>
      </c>
      <c r="O7" s="9">
        <v>4</v>
      </c>
      <c r="P7" s="140" t="s">
        <v>213</v>
      </c>
      <c r="Q7" s="91" t="s">
        <v>18</v>
      </c>
      <c r="R7" s="98">
        <f>+E7-'Hoard matrices'!E6</f>
        <v>4</v>
      </c>
      <c r="S7" s="132">
        <f>+F7-'Hoard matrices'!F6</f>
        <v>1</v>
      </c>
      <c r="T7" s="95">
        <f>+G7-'Hoard matrices'!G6</f>
        <v>0</v>
      </c>
      <c r="U7" s="95">
        <f>+H7-'Hoard matrices'!H6</f>
        <v>0</v>
      </c>
      <c r="V7" s="95">
        <f>+I7-'Hoard matrices'!I6</f>
        <v>0</v>
      </c>
      <c r="W7" s="95">
        <f>+J7-'Hoard matrices'!J6</f>
        <v>0</v>
      </c>
      <c r="X7" s="95">
        <f>+K7-'Hoard matrices'!K6</f>
        <v>0</v>
      </c>
      <c r="Y7" s="95">
        <f>+L7-'Hoard matrices'!L6</f>
        <v>0</v>
      </c>
      <c r="Z7" s="95">
        <f t="shared" si="5"/>
        <v>5</v>
      </c>
      <c r="AA7" s="96">
        <f t="shared" si="3"/>
        <v>2.012072434607646E-3</v>
      </c>
      <c r="AB7" s="90">
        <v>4</v>
      </c>
      <c r="AC7" s="9">
        <f t="shared" si="4"/>
        <v>0</v>
      </c>
    </row>
    <row r="8" spans="1:29" s="9" customFormat="1" ht="15.75" x14ac:dyDescent="0.25">
      <c r="B8" s="6" t="s">
        <v>55</v>
      </c>
      <c r="C8" s="108" t="s">
        <v>199</v>
      </c>
      <c r="D8" s="82" t="s">
        <v>20</v>
      </c>
      <c r="E8" s="81">
        <f t="shared" si="0"/>
        <v>28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81">
        <f t="shared" si="0"/>
        <v>4</v>
      </c>
      <c r="K8" s="9">
        <f t="shared" si="0"/>
        <v>0</v>
      </c>
      <c r="L8" s="9">
        <f t="shared" si="0"/>
        <v>0</v>
      </c>
      <c r="M8" s="9">
        <f t="shared" si="1"/>
        <v>32</v>
      </c>
      <c r="N8" s="57">
        <f t="shared" si="2"/>
        <v>5.6899004267425323E-3</v>
      </c>
      <c r="O8" s="9">
        <v>1</v>
      </c>
      <c r="P8" s="140" t="s">
        <v>199</v>
      </c>
      <c r="Q8" s="91" t="s">
        <v>20</v>
      </c>
      <c r="R8" s="98">
        <f>+E8-'Hoard matrices'!E7</f>
        <v>26</v>
      </c>
      <c r="S8" s="95">
        <f>+F8-'Hoard matrices'!F7</f>
        <v>0</v>
      </c>
      <c r="T8" s="95">
        <f>+G8-'Hoard matrices'!G7</f>
        <v>0</v>
      </c>
      <c r="U8" s="95">
        <f>+H8-'Hoard matrices'!H7</f>
        <v>0</v>
      </c>
      <c r="V8" s="95">
        <f>+I8-'Hoard matrices'!I7</f>
        <v>0</v>
      </c>
      <c r="W8" s="98">
        <f>+J8-'Hoard matrices'!J7</f>
        <v>3</v>
      </c>
      <c r="X8" s="95">
        <f>+K8-'Hoard matrices'!K7</f>
        <v>0</v>
      </c>
      <c r="Y8" s="95">
        <f>+L8-'Hoard matrices'!L7</f>
        <v>0</v>
      </c>
      <c r="Z8" s="95">
        <f t="shared" si="5"/>
        <v>29</v>
      </c>
      <c r="AA8" s="96">
        <f t="shared" si="3"/>
        <v>1.1670020120724347E-2</v>
      </c>
      <c r="AB8" s="90">
        <v>1</v>
      </c>
      <c r="AC8" s="9">
        <f t="shared" si="4"/>
        <v>0</v>
      </c>
    </row>
    <row r="9" spans="1:29" s="9" customFormat="1" ht="15.75" x14ac:dyDescent="0.25">
      <c r="B9" s="6" t="s">
        <v>56</v>
      </c>
      <c r="C9" s="108" t="s">
        <v>200</v>
      </c>
      <c r="D9" s="82" t="s">
        <v>21</v>
      </c>
      <c r="E9" s="81">
        <f t="shared" si="0"/>
        <v>44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1"/>
        <v>44</v>
      </c>
      <c r="N9" s="57">
        <f t="shared" si="2"/>
        <v>7.8236130867709811E-3</v>
      </c>
      <c r="O9" s="9">
        <v>3</v>
      </c>
      <c r="P9" s="140" t="s">
        <v>200</v>
      </c>
      <c r="Q9" s="91" t="s">
        <v>21</v>
      </c>
      <c r="R9" s="98">
        <f>+E9-'Hoard matrices'!E8</f>
        <v>34</v>
      </c>
      <c r="S9" s="95">
        <f>+F9-'Hoard matrices'!F8</f>
        <v>0</v>
      </c>
      <c r="T9" s="95">
        <f>+G9-'Hoard matrices'!G8</f>
        <v>0</v>
      </c>
      <c r="U9" s="95">
        <f>+H9-'Hoard matrices'!H8</f>
        <v>0</v>
      </c>
      <c r="V9" s="95">
        <f>+I9-'Hoard matrices'!I8</f>
        <v>0</v>
      </c>
      <c r="W9" s="98">
        <f>+J9-'Hoard matrices'!J8</f>
        <v>0</v>
      </c>
      <c r="X9" s="95">
        <f>+K9-'Hoard matrices'!K8</f>
        <v>0</v>
      </c>
      <c r="Y9" s="95">
        <f>+L9-'Hoard matrices'!L8</f>
        <v>0</v>
      </c>
      <c r="Z9" s="95">
        <f t="shared" si="5"/>
        <v>34</v>
      </c>
      <c r="AA9" s="96">
        <f t="shared" si="3"/>
        <v>1.3682092555331992E-2</v>
      </c>
      <c r="AB9" s="90">
        <v>3</v>
      </c>
      <c r="AC9" s="9">
        <f t="shared" si="4"/>
        <v>0</v>
      </c>
    </row>
    <row r="10" spans="1:29" s="9" customFormat="1" ht="15.75" x14ac:dyDescent="0.25">
      <c r="B10" s="6" t="s">
        <v>57</v>
      </c>
      <c r="C10" s="108" t="s">
        <v>201</v>
      </c>
      <c r="D10" s="82" t="s">
        <v>22</v>
      </c>
      <c r="E10" s="81">
        <f t="shared" si="0"/>
        <v>122</v>
      </c>
      <c r="F10" s="9">
        <f t="shared" si="0"/>
        <v>7</v>
      </c>
      <c r="G10" s="9">
        <f t="shared" si="0"/>
        <v>0</v>
      </c>
      <c r="H10" s="9">
        <f t="shared" si="0"/>
        <v>0</v>
      </c>
      <c r="I10" s="9">
        <f t="shared" si="0"/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  <c r="M10" s="9">
        <f t="shared" si="1"/>
        <v>129</v>
      </c>
      <c r="N10" s="57">
        <f t="shared" si="2"/>
        <v>2.293741109530583E-2</v>
      </c>
      <c r="O10" s="9">
        <v>3</v>
      </c>
      <c r="P10" s="140" t="s">
        <v>201</v>
      </c>
      <c r="Q10" s="91" t="s">
        <v>22</v>
      </c>
      <c r="R10" s="98">
        <f>+E10-'Hoard matrices'!E9</f>
        <v>91</v>
      </c>
      <c r="S10" s="95">
        <f>+F10-'Hoard matrices'!F9</f>
        <v>4</v>
      </c>
      <c r="T10" s="95">
        <f>+G10-'Hoard matrices'!G9</f>
        <v>0</v>
      </c>
      <c r="U10" s="95">
        <f>+H10-'Hoard matrices'!H9</f>
        <v>0</v>
      </c>
      <c r="V10" s="95">
        <f>+I10-'Hoard matrices'!I9</f>
        <v>0</v>
      </c>
      <c r="W10" s="98">
        <f>+J10-'Hoard matrices'!J9</f>
        <v>0</v>
      </c>
      <c r="X10" s="95">
        <f>+K10-'Hoard matrices'!K9</f>
        <v>0</v>
      </c>
      <c r="Y10" s="95">
        <f>+L10-'Hoard matrices'!L9</f>
        <v>0</v>
      </c>
      <c r="Z10" s="95">
        <f t="shared" si="5"/>
        <v>95</v>
      </c>
      <c r="AA10" s="96">
        <f t="shared" si="3"/>
        <v>3.8229376257545272E-2</v>
      </c>
      <c r="AB10" s="90">
        <v>3</v>
      </c>
      <c r="AC10" s="9">
        <f t="shared" si="4"/>
        <v>0</v>
      </c>
    </row>
    <row r="11" spans="1:29" s="9" customFormat="1" ht="15.75" x14ac:dyDescent="0.25">
      <c r="B11" s="6" t="s">
        <v>79</v>
      </c>
      <c r="C11" s="108" t="s">
        <v>202</v>
      </c>
      <c r="D11" s="82" t="s">
        <v>31</v>
      </c>
      <c r="E11" s="81">
        <f t="shared" si="0"/>
        <v>54</v>
      </c>
      <c r="F11" s="9">
        <f t="shared" si="0"/>
        <v>0</v>
      </c>
      <c r="G11" s="9">
        <f t="shared" si="0"/>
        <v>3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  <c r="M11" s="9">
        <f t="shared" si="1"/>
        <v>57</v>
      </c>
      <c r="N11" s="57">
        <f t="shared" si="2"/>
        <v>1.0135135135135136E-2</v>
      </c>
      <c r="O11" s="9">
        <v>2</v>
      </c>
      <c r="P11" s="140" t="s">
        <v>202</v>
      </c>
      <c r="Q11" s="91" t="s">
        <v>31</v>
      </c>
      <c r="R11" s="98">
        <f>+E11-'Hoard matrices'!E10</f>
        <v>37</v>
      </c>
      <c r="S11" s="95">
        <f>+F11-'Hoard matrices'!F10</f>
        <v>0</v>
      </c>
      <c r="T11" s="95">
        <f>+G11-'Hoard matrices'!G10</f>
        <v>1</v>
      </c>
      <c r="U11" s="95">
        <f>+H11-'Hoard matrices'!H10</f>
        <v>0</v>
      </c>
      <c r="V11" s="95">
        <f>+I11-'Hoard matrices'!I10</f>
        <v>0</v>
      </c>
      <c r="W11" s="98">
        <f>+J11-'Hoard matrices'!J10</f>
        <v>0</v>
      </c>
      <c r="X11" s="95">
        <f>+K11-'Hoard matrices'!K10</f>
        <v>0</v>
      </c>
      <c r="Y11" s="95">
        <f>+L11-'Hoard matrices'!L10</f>
        <v>0</v>
      </c>
      <c r="Z11" s="95">
        <f t="shared" si="5"/>
        <v>38</v>
      </c>
      <c r="AA11" s="96">
        <f t="shared" si="3"/>
        <v>1.5291750503018108E-2</v>
      </c>
      <c r="AB11" s="90">
        <v>2</v>
      </c>
      <c r="AC11" s="9">
        <f t="shared" si="4"/>
        <v>0</v>
      </c>
    </row>
    <row r="12" spans="1:29" s="9" customFormat="1" ht="15.75" x14ac:dyDescent="0.25">
      <c r="B12" s="6" t="s">
        <v>67</v>
      </c>
      <c r="C12" s="108" t="s">
        <v>203</v>
      </c>
      <c r="D12" s="82" t="s">
        <v>33</v>
      </c>
      <c r="E12" s="81">
        <f t="shared" si="0"/>
        <v>45</v>
      </c>
      <c r="F12" s="9">
        <f t="shared" si="0"/>
        <v>0</v>
      </c>
      <c r="G12" s="9">
        <f t="shared" si="0"/>
        <v>0</v>
      </c>
      <c r="H12" s="9">
        <f t="shared" si="0"/>
        <v>0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1"/>
        <v>45</v>
      </c>
      <c r="N12" s="57">
        <f t="shared" si="2"/>
        <v>8.001422475106686E-3</v>
      </c>
      <c r="O12" s="9">
        <v>2</v>
      </c>
      <c r="P12" s="140" t="s">
        <v>203</v>
      </c>
      <c r="Q12" s="91" t="s">
        <v>33</v>
      </c>
      <c r="R12" s="98">
        <f>+E12-'Hoard matrices'!E11</f>
        <v>29</v>
      </c>
      <c r="S12" s="95">
        <f>+F12-'Hoard matrices'!F11</f>
        <v>0</v>
      </c>
      <c r="T12" s="95">
        <f>+G12-'Hoard matrices'!G11</f>
        <v>0</v>
      </c>
      <c r="U12" s="95">
        <f>+H12-'Hoard matrices'!H11</f>
        <v>0</v>
      </c>
      <c r="V12" s="95">
        <f>+I12-'Hoard matrices'!I11</f>
        <v>0</v>
      </c>
      <c r="W12" s="98">
        <f>+J12-'Hoard matrices'!J11</f>
        <v>0</v>
      </c>
      <c r="X12" s="95">
        <f>+K12-'Hoard matrices'!K11</f>
        <v>0</v>
      </c>
      <c r="Y12" s="95">
        <f>+L12-'Hoard matrices'!L11</f>
        <v>0</v>
      </c>
      <c r="Z12" s="95">
        <f t="shared" si="5"/>
        <v>29</v>
      </c>
      <c r="AA12" s="96">
        <f t="shared" si="3"/>
        <v>1.1670020120724347E-2</v>
      </c>
      <c r="AB12" s="90">
        <v>2</v>
      </c>
      <c r="AC12" s="9">
        <f t="shared" si="4"/>
        <v>0</v>
      </c>
    </row>
    <row r="13" spans="1:29" s="9" customFormat="1" ht="15.75" x14ac:dyDescent="0.25">
      <c r="B13" s="6" t="s">
        <v>69</v>
      </c>
      <c r="C13" s="108" t="s">
        <v>204</v>
      </c>
      <c r="D13" s="82" t="s">
        <v>38</v>
      </c>
      <c r="E13" s="81">
        <f t="shared" si="0"/>
        <v>7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1"/>
        <v>7</v>
      </c>
      <c r="N13" s="57">
        <f t="shared" si="2"/>
        <v>1.2446657183499289E-3</v>
      </c>
      <c r="O13" s="9">
        <v>2</v>
      </c>
      <c r="P13" s="140" t="s">
        <v>204</v>
      </c>
      <c r="Q13" s="91" t="s">
        <v>38</v>
      </c>
      <c r="R13" s="98">
        <f>+E13-'Hoard matrices'!E12</f>
        <v>7</v>
      </c>
      <c r="S13" s="95">
        <f>+F13-'Hoard matrices'!F12</f>
        <v>0</v>
      </c>
      <c r="T13" s="95">
        <f>+G13-'Hoard matrices'!G12</f>
        <v>0</v>
      </c>
      <c r="U13" s="95">
        <f>+H13-'Hoard matrices'!H12</f>
        <v>0</v>
      </c>
      <c r="V13" s="95">
        <f>+I13-'Hoard matrices'!I12</f>
        <v>0</v>
      </c>
      <c r="W13" s="98">
        <f>+J13-'Hoard matrices'!J12</f>
        <v>0</v>
      </c>
      <c r="X13" s="95">
        <f>+K13-'Hoard matrices'!K12</f>
        <v>0</v>
      </c>
      <c r="Y13" s="95">
        <f>+L13-'Hoard matrices'!L12</f>
        <v>0</v>
      </c>
      <c r="Z13" s="95">
        <f t="shared" si="5"/>
        <v>7</v>
      </c>
      <c r="AA13" s="96">
        <f t="shared" si="3"/>
        <v>2.8169014084507044E-3</v>
      </c>
      <c r="AB13" s="90">
        <v>2</v>
      </c>
      <c r="AC13" s="9">
        <f t="shared" si="4"/>
        <v>0</v>
      </c>
    </row>
    <row r="14" spans="1:29" s="9" customFormat="1" ht="15.75" x14ac:dyDescent="0.25">
      <c r="B14" s="6" t="s">
        <v>71</v>
      </c>
      <c r="C14" s="108" t="s">
        <v>205</v>
      </c>
      <c r="D14" s="82" t="s">
        <v>41</v>
      </c>
      <c r="E14" s="81">
        <f t="shared" si="0"/>
        <v>41</v>
      </c>
      <c r="F14" s="9">
        <f t="shared" si="0"/>
        <v>0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1"/>
        <v>41</v>
      </c>
      <c r="N14" s="57">
        <f t="shared" si="2"/>
        <v>7.2901849217638691E-3</v>
      </c>
      <c r="O14" s="9">
        <v>2</v>
      </c>
      <c r="P14" s="140" t="s">
        <v>205</v>
      </c>
      <c r="Q14" s="91" t="s">
        <v>41</v>
      </c>
      <c r="R14" s="98">
        <f>+E14-'Hoard matrices'!E13</f>
        <v>37</v>
      </c>
      <c r="S14" s="95">
        <f>+F14-'Hoard matrices'!F13</f>
        <v>0</v>
      </c>
      <c r="T14" s="95">
        <f>+G14-'Hoard matrices'!G13</f>
        <v>0</v>
      </c>
      <c r="U14" s="95">
        <f>+H14-'Hoard matrices'!H13</f>
        <v>0</v>
      </c>
      <c r="V14" s="95">
        <f>+I14-'Hoard matrices'!I13</f>
        <v>0</v>
      </c>
      <c r="W14" s="98">
        <f>+J14-'Hoard matrices'!J13</f>
        <v>0</v>
      </c>
      <c r="X14" s="95">
        <f>+K14-'Hoard matrices'!K13</f>
        <v>0</v>
      </c>
      <c r="Y14" s="95">
        <f>+L14-'Hoard matrices'!L13</f>
        <v>0</v>
      </c>
      <c r="Z14" s="95">
        <f t="shared" si="5"/>
        <v>37</v>
      </c>
      <c r="AA14" s="96">
        <f t="shared" si="3"/>
        <v>1.488933601609658E-2</v>
      </c>
      <c r="AB14" s="90">
        <v>2</v>
      </c>
      <c r="AC14" s="9">
        <f t="shared" si="4"/>
        <v>0</v>
      </c>
    </row>
    <row r="15" spans="1:29" s="9" customFormat="1" ht="15.75" x14ac:dyDescent="0.25">
      <c r="B15" s="6" t="s">
        <v>73</v>
      </c>
      <c r="C15" s="108" t="s">
        <v>206</v>
      </c>
      <c r="D15" s="82" t="s">
        <v>43</v>
      </c>
      <c r="E15" s="81">
        <f t="shared" ref="E15:L24" si="6">+E62+E105+E148+E191</f>
        <v>35</v>
      </c>
      <c r="F15" s="9">
        <f t="shared" si="6"/>
        <v>0</v>
      </c>
      <c r="G15" s="9">
        <f t="shared" si="6"/>
        <v>0</v>
      </c>
      <c r="H15" s="9">
        <f t="shared" si="6"/>
        <v>0</v>
      </c>
      <c r="I15" s="9">
        <f t="shared" si="6"/>
        <v>0</v>
      </c>
      <c r="J15" s="9">
        <f t="shared" si="6"/>
        <v>0</v>
      </c>
      <c r="K15" s="9">
        <f t="shared" si="6"/>
        <v>0</v>
      </c>
      <c r="L15" s="9">
        <f t="shared" si="6"/>
        <v>0</v>
      </c>
      <c r="M15" s="9">
        <f t="shared" si="1"/>
        <v>35</v>
      </c>
      <c r="N15" s="57">
        <f t="shared" si="2"/>
        <v>6.2233285917496443E-3</v>
      </c>
      <c r="O15" s="9">
        <v>1</v>
      </c>
      <c r="P15" s="140" t="s">
        <v>206</v>
      </c>
      <c r="Q15" s="91" t="s">
        <v>43</v>
      </c>
      <c r="R15" s="98">
        <f>+E15-'Hoard matrices'!E14</f>
        <v>27</v>
      </c>
      <c r="S15" s="95">
        <f>+F15-'Hoard matrices'!F14</f>
        <v>0</v>
      </c>
      <c r="T15" s="95">
        <f>+G15-'Hoard matrices'!G14</f>
        <v>0</v>
      </c>
      <c r="U15" s="95">
        <f>+H15-'Hoard matrices'!H14</f>
        <v>0</v>
      </c>
      <c r="V15" s="95">
        <f>+I15-'Hoard matrices'!I14</f>
        <v>0</v>
      </c>
      <c r="W15" s="98">
        <f>+J15-'Hoard matrices'!J14</f>
        <v>0</v>
      </c>
      <c r="X15" s="95">
        <f>+K15-'Hoard matrices'!K14</f>
        <v>0</v>
      </c>
      <c r="Y15" s="95">
        <f>+L15-'Hoard matrices'!L14</f>
        <v>0</v>
      </c>
      <c r="Z15" s="95">
        <f t="shared" si="5"/>
        <v>27</v>
      </c>
      <c r="AA15" s="96">
        <f t="shared" si="3"/>
        <v>1.0865191146881288E-2</v>
      </c>
      <c r="AB15" s="90">
        <v>1</v>
      </c>
      <c r="AC15" s="9">
        <f t="shared" si="4"/>
        <v>0</v>
      </c>
    </row>
    <row r="16" spans="1:29" s="9" customFormat="1" ht="15.75" x14ac:dyDescent="0.25">
      <c r="B16" s="6" t="s">
        <v>61</v>
      </c>
      <c r="C16" s="108" t="s">
        <v>196</v>
      </c>
      <c r="D16" s="6" t="s">
        <v>26</v>
      </c>
      <c r="E16" s="9">
        <f t="shared" si="6"/>
        <v>0</v>
      </c>
      <c r="F16" s="9">
        <f t="shared" si="6"/>
        <v>2</v>
      </c>
      <c r="G16" s="9">
        <f t="shared" si="6"/>
        <v>0</v>
      </c>
      <c r="H16" s="9">
        <f t="shared" si="6"/>
        <v>0</v>
      </c>
      <c r="I16" s="9">
        <f t="shared" si="6"/>
        <v>24</v>
      </c>
      <c r="J16" s="9">
        <f t="shared" si="6"/>
        <v>0</v>
      </c>
      <c r="K16" s="9">
        <f t="shared" si="6"/>
        <v>36</v>
      </c>
      <c r="L16" s="9">
        <f t="shared" si="6"/>
        <v>0</v>
      </c>
      <c r="M16" s="9">
        <f t="shared" si="1"/>
        <v>62</v>
      </c>
      <c r="N16" s="57">
        <f t="shared" si="2"/>
        <v>1.1024182076813657E-2</v>
      </c>
      <c r="O16" s="9">
        <v>2</v>
      </c>
      <c r="P16" s="140" t="s">
        <v>196</v>
      </c>
      <c r="Q16" s="94" t="s">
        <v>26</v>
      </c>
      <c r="R16" s="95">
        <f>+E16-'Hoard matrices'!E15</f>
        <v>0</v>
      </c>
      <c r="S16" s="95">
        <f>+F16-'Hoard matrices'!F15</f>
        <v>2</v>
      </c>
      <c r="T16" s="95">
        <f>+G16-'Hoard matrices'!G15</f>
        <v>0</v>
      </c>
      <c r="U16" s="95">
        <f>+H16-'Hoard matrices'!H15</f>
        <v>0</v>
      </c>
      <c r="V16" s="95">
        <f>+I16-'Hoard matrices'!I15</f>
        <v>11</v>
      </c>
      <c r="W16" s="95">
        <f>+J16-'Hoard matrices'!J20</f>
        <v>0</v>
      </c>
      <c r="X16" s="95">
        <f>+K16-'Hoard matrices'!K15</f>
        <v>12</v>
      </c>
      <c r="Y16" s="95">
        <f>+L16-'Hoard matrices'!L15</f>
        <v>0</v>
      </c>
      <c r="Z16" s="95">
        <f t="shared" si="5"/>
        <v>25</v>
      </c>
      <c r="AA16" s="96">
        <f t="shared" si="3"/>
        <v>1.0060362173038229E-2</v>
      </c>
      <c r="AB16" s="90">
        <v>2</v>
      </c>
      <c r="AC16" s="9">
        <f t="shared" si="4"/>
        <v>0</v>
      </c>
    </row>
    <row r="17" spans="2:29" s="9" customFormat="1" ht="15.75" x14ac:dyDescent="0.25">
      <c r="B17" s="6" t="s">
        <v>48</v>
      </c>
      <c r="C17" s="108" t="s">
        <v>207</v>
      </c>
      <c r="D17" s="6" t="s">
        <v>12</v>
      </c>
      <c r="E17" s="9">
        <f t="shared" si="6"/>
        <v>80</v>
      </c>
      <c r="F17" s="9">
        <f t="shared" si="6"/>
        <v>0</v>
      </c>
      <c r="G17" s="9">
        <f t="shared" si="6"/>
        <v>0</v>
      </c>
      <c r="H17" s="9">
        <f t="shared" si="6"/>
        <v>0</v>
      </c>
      <c r="I17" s="9">
        <f t="shared" si="6"/>
        <v>0</v>
      </c>
      <c r="J17" s="9">
        <f t="shared" si="6"/>
        <v>0</v>
      </c>
      <c r="K17" s="9">
        <f t="shared" si="6"/>
        <v>0</v>
      </c>
      <c r="L17" s="9">
        <f t="shared" si="6"/>
        <v>0</v>
      </c>
      <c r="M17" s="9">
        <f t="shared" si="1"/>
        <v>80</v>
      </c>
      <c r="N17" s="57">
        <f t="shared" si="2"/>
        <v>1.422475106685633E-2</v>
      </c>
      <c r="O17" s="9">
        <v>3</v>
      </c>
      <c r="P17" s="140" t="s">
        <v>207</v>
      </c>
      <c r="Q17" s="94" t="s">
        <v>12</v>
      </c>
      <c r="R17" s="95">
        <f>+E17-'Hoard matrices'!E16</f>
        <v>37</v>
      </c>
      <c r="S17" s="95">
        <f>+F17-'Hoard matrices'!F16</f>
        <v>0</v>
      </c>
      <c r="T17" s="95">
        <f>+G17-'Hoard matrices'!G16</f>
        <v>0</v>
      </c>
      <c r="U17" s="95">
        <f>+H17-'Hoard matrices'!H16</f>
        <v>0</v>
      </c>
      <c r="V17" s="95">
        <f>+I17-'Hoard matrices'!I16</f>
        <v>0</v>
      </c>
      <c r="W17" s="95">
        <f>+J17-'Hoard matrices'!J16</f>
        <v>0</v>
      </c>
      <c r="X17" s="95">
        <f>+K17-'Hoard matrices'!K16</f>
        <v>0</v>
      </c>
      <c r="Y17" s="95">
        <f>+L17-'Hoard matrices'!L16</f>
        <v>0</v>
      </c>
      <c r="Z17" s="95">
        <f t="shared" si="5"/>
        <v>37</v>
      </c>
      <c r="AA17" s="96">
        <f t="shared" si="3"/>
        <v>1.488933601609658E-2</v>
      </c>
      <c r="AB17" s="90">
        <v>3</v>
      </c>
      <c r="AC17" s="9">
        <f t="shared" si="4"/>
        <v>0</v>
      </c>
    </row>
    <row r="18" spans="2:29" s="9" customFormat="1" ht="15.75" x14ac:dyDescent="0.25">
      <c r="B18" s="6" t="s">
        <v>77</v>
      </c>
      <c r="C18" s="108" t="s">
        <v>208</v>
      </c>
      <c r="D18" s="20" t="s">
        <v>13</v>
      </c>
      <c r="E18" s="9">
        <f t="shared" si="6"/>
        <v>0</v>
      </c>
      <c r="F18" s="9">
        <f t="shared" si="6"/>
        <v>178</v>
      </c>
      <c r="G18" s="9">
        <f t="shared" si="6"/>
        <v>9</v>
      </c>
      <c r="H18" s="9">
        <f t="shared" si="6"/>
        <v>0</v>
      </c>
      <c r="I18" s="9">
        <f t="shared" si="6"/>
        <v>0</v>
      </c>
      <c r="J18" s="9">
        <f t="shared" si="6"/>
        <v>0</v>
      </c>
      <c r="K18" s="9">
        <f t="shared" si="6"/>
        <v>0</v>
      </c>
      <c r="L18" s="9">
        <f t="shared" si="6"/>
        <v>0</v>
      </c>
      <c r="M18" s="9">
        <f t="shared" si="1"/>
        <v>187</v>
      </c>
      <c r="N18" s="57">
        <f t="shared" si="2"/>
        <v>3.3250355618776671E-2</v>
      </c>
      <c r="O18" s="9">
        <v>3</v>
      </c>
      <c r="P18" s="140" t="s">
        <v>208</v>
      </c>
      <c r="Q18" s="97" t="s">
        <v>13</v>
      </c>
      <c r="R18" s="95">
        <f>+E18-'Hoard matrices'!E17</f>
        <v>0</v>
      </c>
      <c r="S18" s="95">
        <f>+F18-'Hoard matrices'!F17</f>
        <v>62</v>
      </c>
      <c r="T18" s="95">
        <f>+G18-'Hoard matrices'!G17</f>
        <v>4</v>
      </c>
      <c r="U18" s="95">
        <f>+H18-'Hoard matrices'!H17</f>
        <v>0</v>
      </c>
      <c r="V18" s="95">
        <f>+I18-'Hoard matrices'!I17</f>
        <v>0</v>
      </c>
      <c r="W18" s="95">
        <f>+J18-'Hoard matrices'!J17</f>
        <v>0</v>
      </c>
      <c r="X18" s="95">
        <f>+K18-'Hoard matrices'!K17</f>
        <v>0</v>
      </c>
      <c r="Y18" s="95">
        <f>+L18-'Hoard matrices'!L17</f>
        <v>0</v>
      </c>
      <c r="Z18" s="95">
        <f t="shared" si="5"/>
        <v>66</v>
      </c>
      <c r="AA18" s="96">
        <f t="shared" si="3"/>
        <v>2.6559356136820925E-2</v>
      </c>
      <c r="AB18" s="90">
        <v>3</v>
      </c>
      <c r="AC18" s="9">
        <f t="shared" si="4"/>
        <v>0</v>
      </c>
    </row>
    <row r="19" spans="2:29" s="9" customFormat="1" ht="15.75" x14ac:dyDescent="0.25">
      <c r="B19" s="6" t="s">
        <v>49</v>
      </c>
      <c r="C19" s="108" t="s">
        <v>209</v>
      </c>
      <c r="D19" s="6" t="s">
        <v>14</v>
      </c>
      <c r="E19" s="9">
        <f t="shared" si="6"/>
        <v>2</v>
      </c>
      <c r="F19" s="9">
        <f t="shared" si="6"/>
        <v>0</v>
      </c>
      <c r="G19" s="9">
        <f t="shared" si="6"/>
        <v>0</v>
      </c>
      <c r="H19" s="9">
        <f t="shared" si="6"/>
        <v>0</v>
      </c>
      <c r="I19" s="9">
        <f t="shared" si="6"/>
        <v>0</v>
      </c>
      <c r="J19" s="9">
        <f t="shared" si="6"/>
        <v>0</v>
      </c>
      <c r="K19" s="9">
        <f t="shared" si="6"/>
        <v>0</v>
      </c>
      <c r="L19" s="9">
        <f t="shared" si="6"/>
        <v>0</v>
      </c>
      <c r="M19" s="9">
        <f t="shared" si="1"/>
        <v>2</v>
      </c>
      <c r="N19" s="57">
        <f t="shared" si="2"/>
        <v>3.5561877667140827E-4</v>
      </c>
      <c r="O19" s="9">
        <v>3</v>
      </c>
      <c r="P19" s="140" t="s">
        <v>209</v>
      </c>
      <c r="Q19" s="94" t="s">
        <v>14</v>
      </c>
      <c r="R19" s="95">
        <f>+E19-'Hoard matrices'!E18</f>
        <v>1</v>
      </c>
      <c r="S19" s="95">
        <f>+F19-'Hoard matrices'!F18</f>
        <v>0</v>
      </c>
      <c r="T19" s="95">
        <f>+G19-'Hoard matrices'!G18</f>
        <v>0</v>
      </c>
      <c r="U19" s="95">
        <f>+H19-'Hoard matrices'!H18</f>
        <v>0</v>
      </c>
      <c r="V19" s="95">
        <f>+I19-'Hoard matrices'!I18</f>
        <v>0</v>
      </c>
      <c r="W19" s="95">
        <f>+J19-'Hoard matrices'!J18</f>
        <v>0</v>
      </c>
      <c r="X19" s="95">
        <f>+K19-'Hoard matrices'!K18</f>
        <v>0</v>
      </c>
      <c r="Y19" s="95">
        <f>+L19-'Hoard matrices'!L18</f>
        <v>0</v>
      </c>
      <c r="Z19" s="95">
        <f t="shared" si="5"/>
        <v>1</v>
      </c>
      <c r="AA19" s="96">
        <f t="shared" si="3"/>
        <v>4.0241448692152917E-4</v>
      </c>
      <c r="AB19" s="90">
        <v>3</v>
      </c>
      <c r="AC19" s="9">
        <f t="shared" si="4"/>
        <v>0</v>
      </c>
    </row>
    <row r="20" spans="2:29" s="9" customFormat="1" ht="15.75" x14ac:dyDescent="0.25">
      <c r="B20" s="6" t="s">
        <v>50</v>
      </c>
      <c r="C20" s="108" t="s">
        <v>210</v>
      </c>
      <c r="D20" s="6" t="s">
        <v>15</v>
      </c>
      <c r="E20" s="9">
        <f t="shared" si="6"/>
        <v>146</v>
      </c>
      <c r="F20" s="9">
        <f t="shared" si="6"/>
        <v>100</v>
      </c>
      <c r="G20" s="9">
        <f t="shared" si="6"/>
        <v>28</v>
      </c>
      <c r="H20" s="9">
        <f t="shared" si="6"/>
        <v>0</v>
      </c>
      <c r="I20" s="9">
        <f t="shared" si="6"/>
        <v>0</v>
      </c>
      <c r="J20" s="9">
        <f t="shared" si="6"/>
        <v>0</v>
      </c>
      <c r="K20" s="9">
        <f t="shared" si="6"/>
        <v>0</v>
      </c>
      <c r="L20" s="9">
        <f t="shared" si="6"/>
        <v>0</v>
      </c>
      <c r="M20" s="9">
        <f t="shared" si="1"/>
        <v>274</v>
      </c>
      <c r="N20" s="57">
        <f t="shared" si="2"/>
        <v>4.8719772403982932E-2</v>
      </c>
      <c r="O20" s="9">
        <v>3</v>
      </c>
      <c r="P20" s="140" t="s">
        <v>210</v>
      </c>
      <c r="Q20" s="94" t="s">
        <v>15</v>
      </c>
      <c r="R20" s="95">
        <f>+E20-'Hoard matrices'!E19</f>
        <v>58</v>
      </c>
      <c r="S20" s="95">
        <f>+F20-'Hoard matrices'!F19</f>
        <v>51</v>
      </c>
      <c r="T20" s="95">
        <f>+G20-'Hoard matrices'!G19</f>
        <v>16</v>
      </c>
      <c r="U20" s="95">
        <f>+H20-'Hoard matrices'!H19</f>
        <v>0</v>
      </c>
      <c r="V20" s="95">
        <f>+I20-'Hoard matrices'!I19</f>
        <v>0</v>
      </c>
      <c r="W20" s="95">
        <f>+J20-'Hoard matrices'!J19</f>
        <v>0</v>
      </c>
      <c r="X20" s="95">
        <f>+K20-'Hoard matrices'!K19</f>
        <v>0</v>
      </c>
      <c r="Y20" s="95">
        <f>+L20-'Hoard matrices'!L19</f>
        <v>0</v>
      </c>
      <c r="Z20" s="95">
        <f t="shared" si="5"/>
        <v>125</v>
      </c>
      <c r="AA20" s="96">
        <f t="shared" si="3"/>
        <v>5.030181086519115E-2</v>
      </c>
      <c r="AB20" s="90">
        <v>3</v>
      </c>
      <c r="AC20" s="9">
        <f t="shared" si="4"/>
        <v>0</v>
      </c>
    </row>
    <row r="21" spans="2:29" s="9" customFormat="1" ht="15.75" x14ac:dyDescent="0.25">
      <c r="B21" s="6" t="s">
        <v>51</v>
      </c>
      <c r="C21" s="108" t="s">
        <v>211</v>
      </c>
      <c r="D21" s="6" t="s">
        <v>16</v>
      </c>
      <c r="E21" s="9">
        <f t="shared" si="6"/>
        <v>0</v>
      </c>
      <c r="F21" s="9">
        <f t="shared" si="6"/>
        <v>10</v>
      </c>
      <c r="G21" s="9">
        <f t="shared" si="6"/>
        <v>21</v>
      </c>
      <c r="H21" s="9">
        <f t="shared" si="6"/>
        <v>0</v>
      </c>
      <c r="I21" s="9">
        <f t="shared" si="6"/>
        <v>0</v>
      </c>
      <c r="J21" s="9">
        <f t="shared" si="6"/>
        <v>0</v>
      </c>
      <c r="K21" s="9">
        <f t="shared" si="6"/>
        <v>74</v>
      </c>
      <c r="L21" s="9">
        <f t="shared" si="6"/>
        <v>0</v>
      </c>
      <c r="M21" s="9">
        <f t="shared" si="1"/>
        <v>105</v>
      </c>
      <c r="N21" s="57">
        <f t="shared" si="2"/>
        <v>1.8669985775248935E-2</v>
      </c>
      <c r="O21" s="9">
        <v>3</v>
      </c>
      <c r="P21" s="140" t="s">
        <v>211</v>
      </c>
      <c r="Q21" s="94" t="s">
        <v>16</v>
      </c>
      <c r="R21" s="95">
        <f>+E21-'Hoard matrices'!E20</f>
        <v>0</v>
      </c>
      <c r="S21" s="95">
        <f>+F21-'Hoard matrices'!F20</f>
        <v>4</v>
      </c>
      <c r="T21" s="95">
        <f>+G21-'Hoard matrices'!G20</f>
        <v>16</v>
      </c>
      <c r="U21" s="95">
        <f>+H21-'Hoard matrices'!H20</f>
        <v>0</v>
      </c>
      <c r="V21" s="95">
        <f>+I21-'Hoard matrices'!I20</f>
        <v>0</v>
      </c>
      <c r="W21" s="95">
        <f>+J21-'Hoard matrices'!J20</f>
        <v>0</v>
      </c>
      <c r="X21" s="95">
        <f>+K21-'Hoard matrices'!K20</f>
        <v>29</v>
      </c>
      <c r="Y21" s="95">
        <f>+L21-'Hoard matrices'!L20</f>
        <v>0</v>
      </c>
      <c r="Z21" s="95">
        <f t="shared" si="5"/>
        <v>49</v>
      </c>
      <c r="AA21" s="96">
        <f t="shared" si="3"/>
        <v>1.9718309859154931E-2</v>
      </c>
      <c r="AB21" s="90">
        <v>3</v>
      </c>
      <c r="AC21" s="9">
        <f t="shared" si="4"/>
        <v>0</v>
      </c>
    </row>
    <row r="22" spans="2:29" s="9" customFormat="1" ht="15.75" x14ac:dyDescent="0.25">
      <c r="B22" s="6" t="s">
        <v>52</v>
      </c>
      <c r="C22" s="108" t="s">
        <v>212</v>
      </c>
      <c r="D22" s="6" t="s">
        <v>17</v>
      </c>
      <c r="E22" s="9">
        <f t="shared" si="6"/>
        <v>0</v>
      </c>
      <c r="F22" s="9">
        <f t="shared" si="6"/>
        <v>0</v>
      </c>
      <c r="G22" s="9">
        <f t="shared" si="6"/>
        <v>21</v>
      </c>
      <c r="H22" s="9">
        <f t="shared" si="6"/>
        <v>0</v>
      </c>
      <c r="I22" s="9">
        <f t="shared" si="6"/>
        <v>0</v>
      </c>
      <c r="J22" s="9">
        <f t="shared" si="6"/>
        <v>0</v>
      </c>
      <c r="K22" s="9">
        <f t="shared" si="6"/>
        <v>0</v>
      </c>
      <c r="L22" s="9">
        <f t="shared" si="6"/>
        <v>0</v>
      </c>
      <c r="M22" s="9">
        <f t="shared" si="1"/>
        <v>21</v>
      </c>
      <c r="N22" s="57">
        <f t="shared" si="2"/>
        <v>3.7339971550497866E-3</v>
      </c>
      <c r="O22" s="9">
        <v>2</v>
      </c>
      <c r="P22" s="140" t="s">
        <v>212</v>
      </c>
      <c r="Q22" s="94" t="s">
        <v>17</v>
      </c>
      <c r="R22" s="95">
        <f>+E22-'Hoard matrices'!E21</f>
        <v>0</v>
      </c>
      <c r="S22" s="95">
        <f>+F22-'Hoard matrices'!F21</f>
        <v>0</v>
      </c>
      <c r="T22" s="95">
        <f>+G22-'Hoard matrices'!G21</f>
        <v>15</v>
      </c>
      <c r="U22" s="95">
        <f>+H22-'Hoard matrices'!H21</f>
        <v>0</v>
      </c>
      <c r="V22" s="95">
        <f>+I22-'Hoard matrices'!I21</f>
        <v>0</v>
      </c>
      <c r="W22" s="95">
        <f>+J22-'Hoard matrices'!J21</f>
        <v>0</v>
      </c>
      <c r="X22" s="95">
        <f>+K22-'Hoard matrices'!K21</f>
        <v>0</v>
      </c>
      <c r="Y22" s="95">
        <f>+L22-'Hoard matrices'!L21</f>
        <v>0</v>
      </c>
      <c r="Z22" s="95">
        <f t="shared" si="5"/>
        <v>15</v>
      </c>
      <c r="AA22" s="96">
        <f t="shared" si="3"/>
        <v>6.0362173038229373E-3</v>
      </c>
      <c r="AB22" s="90">
        <v>2</v>
      </c>
      <c r="AC22" s="9">
        <f t="shared" si="4"/>
        <v>0</v>
      </c>
    </row>
    <row r="23" spans="2:29" s="9" customFormat="1" ht="15.75" x14ac:dyDescent="0.25">
      <c r="B23" s="6" t="s">
        <v>54</v>
      </c>
      <c r="C23" s="108" t="s">
        <v>214</v>
      </c>
      <c r="D23" s="6" t="s">
        <v>19</v>
      </c>
      <c r="E23" s="9">
        <f t="shared" si="6"/>
        <v>0</v>
      </c>
      <c r="F23" s="9">
        <f t="shared" si="6"/>
        <v>31</v>
      </c>
      <c r="G23" s="9">
        <f t="shared" si="6"/>
        <v>0</v>
      </c>
      <c r="H23" s="9">
        <f t="shared" si="6"/>
        <v>0</v>
      </c>
      <c r="I23" s="9">
        <f t="shared" si="6"/>
        <v>0</v>
      </c>
      <c r="J23" s="9">
        <f t="shared" si="6"/>
        <v>0</v>
      </c>
      <c r="K23" s="9">
        <f t="shared" si="6"/>
        <v>0</v>
      </c>
      <c r="L23" s="9">
        <f t="shared" si="6"/>
        <v>0</v>
      </c>
      <c r="M23" s="9">
        <f t="shared" si="1"/>
        <v>31</v>
      </c>
      <c r="N23" s="57">
        <f t="shared" si="2"/>
        <v>5.5120910384068283E-3</v>
      </c>
      <c r="O23" s="9">
        <v>3</v>
      </c>
      <c r="P23" s="140" t="s">
        <v>214</v>
      </c>
      <c r="Q23" s="94" t="s">
        <v>19</v>
      </c>
      <c r="R23" s="95">
        <f>+E23-'Hoard matrices'!E22</f>
        <v>0</v>
      </c>
      <c r="S23" s="95">
        <f>+F23-'Hoard matrices'!F22</f>
        <v>12</v>
      </c>
      <c r="T23" s="95">
        <f>+G23-'Hoard matrices'!G22</f>
        <v>0</v>
      </c>
      <c r="U23" s="95">
        <f>+H23-'Hoard matrices'!H22</f>
        <v>0</v>
      </c>
      <c r="V23" s="95">
        <f>+I23-'Hoard matrices'!I22</f>
        <v>0</v>
      </c>
      <c r="W23" s="95">
        <f>+J23-'Hoard matrices'!J22</f>
        <v>0</v>
      </c>
      <c r="X23" s="95">
        <f>+K23-'Hoard matrices'!K22</f>
        <v>0</v>
      </c>
      <c r="Y23" s="95">
        <f>+L23-'Hoard matrices'!L22</f>
        <v>0</v>
      </c>
      <c r="Z23" s="95">
        <f t="shared" si="5"/>
        <v>12</v>
      </c>
      <c r="AA23" s="96">
        <f t="shared" si="3"/>
        <v>4.82897384305835E-3</v>
      </c>
      <c r="AB23" s="90">
        <v>3</v>
      </c>
      <c r="AC23" s="9">
        <f t="shared" si="4"/>
        <v>0</v>
      </c>
    </row>
    <row r="24" spans="2:29" s="9" customFormat="1" ht="15.75" x14ac:dyDescent="0.25">
      <c r="B24" s="6" t="s">
        <v>58</v>
      </c>
      <c r="C24" s="108" t="s">
        <v>232</v>
      </c>
      <c r="D24" s="6" t="s">
        <v>23</v>
      </c>
      <c r="E24" s="9">
        <f t="shared" si="6"/>
        <v>1</v>
      </c>
      <c r="F24" s="9">
        <f t="shared" si="6"/>
        <v>2</v>
      </c>
      <c r="G24" s="9">
        <f t="shared" si="6"/>
        <v>0</v>
      </c>
      <c r="H24" s="9">
        <f t="shared" si="6"/>
        <v>0</v>
      </c>
      <c r="I24" s="9">
        <f t="shared" si="6"/>
        <v>0</v>
      </c>
      <c r="J24" s="9">
        <f t="shared" si="6"/>
        <v>9</v>
      </c>
      <c r="K24" s="9">
        <f t="shared" si="6"/>
        <v>0</v>
      </c>
      <c r="L24" s="9">
        <f t="shared" si="6"/>
        <v>0</v>
      </c>
      <c r="M24" s="9">
        <f t="shared" si="1"/>
        <v>12</v>
      </c>
      <c r="N24" s="57">
        <f t="shared" si="2"/>
        <v>2.1337126600284497E-3</v>
      </c>
      <c r="O24" s="9">
        <v>1</v>
      </c>
      <c r="P24" s="140" t="s">
        <v>232</v>
      </c>
      <c r="Q24" s="94" t="s">
        <v>23</v>
      </c>
      <c r="R24" s="95">
        <f>+E24-'Hoard matrices'!E23</f>
        <v>1</v>
      </c>
      <c r="S24" s="95">
        <f>+F24-'Hoard matrices'!F23</f>
        <v>2</v>
      </c>
      <c r="T24" s="95">
        <f>+G24-'Hoard matrices'!G23</f>
        <v>0</v>
      </c>
      <c r="U24" s="95">
        <f>+H24-'Hoard matrices'!H23</f>
        <v>0</v>
      </c>
      <c r="V24" s="95">
        <f>+I24-'Hoard matrices'!I23</f>
        <v>0</v>
      </c>
      <c r="W24" s="95">
        <f>+J24-'Hoard matrices'!J23</f>
        <v>3</v>
      </c>
      <c r="X24" s="95">
        <f>+K24-'Hoard matrices'!K23</f>
        <v>0</v>
      </c>
      <c r="Y24" s="95">
        <f>+L24-'Hoard matrices'!L23</f>
        <v>0</v>
      </c>
      <c r="Z24" s="95">
        <f t="shared" si="5"/>
        <v>6</v>
      </c>
      <c r="AA24" s="96">
        <f t="shared" si="3"/>
        <v>2.414486921529175E-3</v>
      </c>
      <c r="AB24" s="90">
        <v>1</v>
      </c>
      <c r="AC24" s="9">
        <f t="shared" si="4"/>
        <v>0</v>
      </c>
    </row>
    <row r="25" spans="2:29" s="9" customFormat="1" ht="15.75" x14ac:dyDescent="0.25">
      <c r="B25" s="6" t="s">
        <v>59</v>
      </c>
      <c r="C25" s="108" t="s">
        <v>215</v>
      </c>
      <c r="D25" s="6" t="s">
        <v>24</v>
      </c>
      <c r="E25" s="9">
        <f t="shared" ref="E25:L34" si="7">+E72+E115+E158+E201</f>
        <v>3</v>
      </c>
      <c r="F25" s="9">
        <f t="shared" si="7"/>
        <v>594</v>
      </c>
      <c r="G25" s="9">
        <f t="shared" si="7"/>
        <v>9</v>
      </c>
      <c r="H25" s="9">
        <f t="shared" si="7"/>
        <v>0</v>
      </c>
      <c r="I25" s="9">
        <f t="shared" si="7"/>
        <v>0</v>
      </c>
      <c r="J25" s="9">
        <f t="shared" si="7"/>
        <v>0</v>
      </c>
      <c r="K25" s="9">
        <f t="shared" si="7"/>
        <v>0</v>
      </c>
      <c r="L25" s="9">
        <f t="shared" si="7"/>
        <v>0</v>
      </c>
      <c r="M25" s="9">
        <f t="shared" si="1"/>
        <v>606</v>
      </c>
      <c r="N25" s="57">
        <f t="shared" si="2"/>
        <v>0.1077524893314367</v>
      </c>
      <c r="O25" s="9">
        <v>1</v>
      </c>
      <c r="P25" s="140" t="s">
        <v>215</v>
      </c>
      <c r="Q25" s="94" t="s">
        <v>24</v>
      </c>
      <c r="R25" s="95">
        <f>+E25-'Hoard matrices'!E24</f>
        <v>1</v>
      </c>
      <c r="S25" s="95">
        <f>+F25-'Hoard matrices'!F24</f>
        <v>217</v>
      </c>
      <c r="T25" s="95">
        <f>+G25-'Hoard matrices'!G24</f>
        <v>6</v>
      </c>
      <c r="U25" s="95">
        <f>+H25-'Hoard matrices'!H24</f>
        <v>0</v>
      </c>
      <c r="V25" s="95">
        <f>+I25-'Hoard matrices'!I24</f>
        <v>0</v>
      </c>
      <c r="W25" s="95">
        <f>+J25-'Hoard matrices'!J24</f>
        <v>0</v>
      </c>
      <c r="X25" s="95">
        <f>+K25-'Hoard matrices'!K24</f>
        <v>0</v>
      </c>
      <c r="Y25" s="95">
        <f>+L25-'Hoard matrices'!L24</f>
        <v>0</v>
      </c>
      <c r="Z25" s="95">
        <f t="shared" si="5"/>
        <v>224</v>
      </c>
      <c r="AA25" s="96">
        <f t="shared" si="3"/>
        <v>9.014084507042254E-2</v>
      </c>
      <c r="AB25" s="90">
        <v>1</v>
      </c>
      <c r="AC25" s="9">
        <f t="shared" si="4"/>
        <v>0</v>
      </c>
    </row>
    <row r="26" spans="2:29" s="9" customFormat="1" ht="15.75" x14ac:dyDescent="0.25">
      <c r="B26" s="6" t="s">
        <v>60</v>
      </c>
      <c r="C26" s="108" t="s">
        <v>216</v>
      </c>
      <c r="D26" s="6" t="s">
        <v>25</v>
      </c>
      <c r="E26" s="9">
        <f t="shared" si="7"/>
        <v>1</v>
      </c>
      <c r="F26" s="9">
        <f t="shared" si="7"/>
        <v>11</v>
      </c>
      <c r="G26" s="9">
        <f t="shared" si="7"/>
        <v>0</v>
      </c>
      <c r="H26" s="9">
        <f t="shared" si="7"/>
        <v>0</v>
      </c>
      <c r="I26" s="9">
        <f t="shared" si="7"/>
        <v>96</v>
      </c>
      <c r="J26" s="9">
        <f t="shared" si="7"/>
        <v>0</v>
      </c>
      <c r="K26" s="9">
        <f t="shared" si="7"/>
        <v>0</v>
      </c>
      <c r="L26" s="9">
        <f t="shared" si="7"/>
        <v>0</v>
      </c>
      <c r="M26" s="9">
        <f t="shared" si="1"/>
        <v>108</v>
      </c>
      <c r="N26" s="57">
        <f t="shared" si="2"/>
        <v>1.9203413940256046E-2</v>
      </c>
      <c r="O26" s="9">
        <v>1</v>
      </c>
      <c r="P26" s="140" t="s">
        <v>216</v>
      </c>
      <c r="Q26" s="94" t="s">
        <v>25</v>
      </c>
      <c r="R26" s="95">
        <f>+E26-'Hoard matrices'!E25</f>
        <v>1</v>
      </c>
      <c r="S26" s="95">
        <f>+F26-'Hoard matrices'!F25</f>
        <v>3</v>
      </c>
      <c r="T26" s="95">
        <f>+G26-'Hoard matrices'!G25</f>
        <v>0</v>
      </c>
      <c r="U26" s="95">
        <f>+H26-'Hoard matrices'!H25</f>
        <v>0</v>
      </c>
      <c r="V26" s="95">
        <f>+I26-'Hoard matrices'!I25</f>
        <v>48</v>
      </c>
      <c r="W26" s="95">
        <f>+J26-'Hoard matrices'!J25</f>
        <v>0</v>
      </c>
      <c r="X26" s="95">
        <f>+K26-'Hoard matrices'!K25</f>
        <v>0</v>
      </c>
      <c r="Y26" s="95">
        <f>+L26-'Hoard matrices'!L25</f>
        <v>0</v>
      </c>
      <c r="Z26" s="95">
        <f t="shared" si="5"/>
        <v>52</v>
      </c>
      <c r="AA26" s="96">
        <f t="shared" si="3"/>
        <v>2.0925553319919517E-2</v>
      </c>
      <c r="AB26" s="90">
        <v>1</v>
      </c>
      <c r="AC26" s="9">
        <f t="shared" si="4"/>
        <v>0</v>
      </c>
    </row>
    <row r="27" spans="2:29" s="9" customFormat="1" ht="15.75" x14ac:dyDescent="0.25">
      <c r="B27" s="6" t="s">
        <v>78</v>
      </c>
      <c r="C27" s="108" t="s">
        <v>217</v>
      </c>
      <c r="D27" s="6" t="s">
        <v>195</v>
      </c>
      <c r="E27" s="9">
        <f t="shared" si="7"/>
        <v>1</v>
      </c>
      <c r="F27" s="9">
        <f t="shared" si="7"/>
        <v>0</v>
      </c>
      <c r="G27" s="9">
        <f t="shared" si="7"/>
        <v>0</v>
      </c>
      <c r="H27" s="84">
        <f t="shared" si="7"/>
        <v>740</v>
      </c>
      <c r="I27" s="9">
        <f t="shared" si="7"/>
        <v>0</v>
      </c>
      <c r="J27" s="9">
        <f t="shared" si="7"/>
        <v>1</v>
      </c>
      <c r="K27" s="9">
        <f t="shared" si="7"/>
        <v>0</v>
      </c>
      <c r="L27" s="9">
        <f t="shared" si="7"/>
        <v>0</v>
      </c>
      <c r="M27" s="9">
        <f t="shared" si="1"/>
        <v>742</v>
      </c>
      <c r="N27" s="57">
        <f t="shared" si="2"/>
        <v>0.13193456614509247</v>
      </c>
      <c r="O27" s="9">
        <v>1</v>
      </c>
      <c r="P27" s="140" t="s">
        <v>217</v>
      </c>
      <c r="Q27" s="94" t="s">
        <v>195</v>
      </c>
      <c r="R27" s="95">
        <f>+E27-'Hoard matrices'!E26</f>
        <v>1</v>
      </c>
      <c r="S27" s="95">
        <f>+F27-'Hoard matrices'!F26</f>
        <v>0</v>
      </c>
      <c r="T27" s="95">
        <f>+G27-'Hoard matrices'!G26</f>
        <v>0</v>
      </c>
      <c r="U27" s="95">
        <f>+H27-'Hoard matrices'!H26</f>
        <v>300</v>
      </c>
      <c r="V27" s="95">
        <f>+I27-'Hoard matrices'!I26</f>
        <v>0</v>
      </c>
      <c r="W27" s="95">
        <f>+J27-'Hoard matrices'!J26</f>
        <v>1</v>
      </c>
      <c r="X27" s="95">
        <f>+K27-'Hoard matrices'!K26</f>
        <v>0</v>
      </c>
      <c r="Y27" s="95">
        <f>+L27-'Hoard matrices'!L26</f>
        <v>0</v>
      </c>
      <c r="Z27" s="95">
        <f t="shared" si="5"/>
        <v>302</v>
      </c>
      <c r="AA27" s="96">
        <f t="shared" si="3"/>
        <v>0.12152917505030181</v>
      </c>
      <c r="AB27" s="90">
        <v>1</v>
      </c>
      <c r="AC27" s="9">
        <f t="shared" si="4"/>
        <v>0</v>
      </c>
    </row>
    <row r="28" spans="2:29" s="9" customFormat="1" ht="15.75" x14ac:dyDescent="0.25">
      <c r="B28" s="6" t="s">
        <v>64</v>
      </c>
      <c r="C28" s="108" t="s">
        <v>218</v>
      </c>
      <c r="D28" s="6" t="s">
        <v>29</v>
      </c>
      <c r="E28" s="9">
        <f t="shared" si="7"/>
        <v>262</v>
      </c>
      <c r="F28" s="9">
        <f t="shared" si="7"/>
        <v>405</v>
      </c>
      <c r="G28" s="9">
        <f t="shared" si="7"/>
        <v>24</v>
      </c>
      <c r="H28" s="9">
        <f t="shared" si="7"/>
        <v>0</v>
      </c>
      <c r="I28" s="9">
        <f t="shared" si="7"/>
        <v>0</v>
      </c>
      <c r="J28" s="9">
        <f t="shared" si="7"/>
        <v>0</v>
      </c>
      <c r="K28" s="9">
        <f t="shared" si="7"/>
        <v>0</v>
      </c>
      <c r="L28" s="9">
        <f t="shared" si="7"/>
        <v>0</v>
      </c>
      <c r="M28" s="9">
        <f t="shared" si="1"/>
        <v>691</v>
      </c>
      <c r="N28" s="57">
        <f t="shared" si="2"/>
        <v>0.12286628733997156</v>
      </c>
      <c r="O28" s="9">
        <v>3</v>
      </c>
      <c r="P28" s="140" t="s">
        <v>218</v>
      </c>
      <c r="Q28" s="94" t="s">
        <v>29</v>
      </c>
      <c r="R28" s="95">
        <f>+E28-'Hoard matrices'!E27</f>
        <v>106</v>
      </c>
      <c r="S28" s="95">
        <f>+F28-'Hoard matrices'!F27</f>
        <v>130</v>
      </c>
      <c r="T28" s="95">
        <f>+G28-'Hoard matrices'!G27</f>
        <v>14</v>
      </c>
      <c r="U28" s="95">
        <f>+H28-'Hoard matrices'!H27</f>
        <v>0</v>
      </c>
      <c r="V28" s="95">
        <f>+I28-'Hoard matrices'!I27</f>
        <v>0</v>
      </c>
      <c r="W28" s="95">
        <f>+J28-'Hoard matrices'!J27</f>
        <v>0</v>
      </c>
      <c r="X28" s="95">
        <f>+K28-'Hoard matrices'!K27</f>
        <v>0</v>
      </c>
      <c r="Y28" s="95">
        <f>+L28-'Hoard matrices'!L27</f>
        <v>0</v>
      </c>
      <c r="Z28" s="95">
        <f t="shared" si="5"/>
        <v>250</v>
      </c>
      <c r="AA28" s="96">
        <f t="shared" si="3"/>
        <v>0.1006036217303823</v>
      </c>
      <c r="AB28" s="90">
        <v>3</v>
      </c>
      <c r="AC28" s="9">
        <f t="shared" si="4"/>
        <v>0</v>
      </c>
    </row>
    <row r="29" spans="2:29" s="9" customFormat="1" ht="15.75" x14ac:dyDescent="0.25">
      <c r="B29" s="6" t="s">
        <v>65</v>
      </c>
      <c r="C29" s="108" t="s">
        <v>219</v>
      </c>
      <c r="D29" s="6" t="s">
        <v>30</v>
      </c>
      <c r="E29" s="9">
        <f t="shared" si="7"/>
        <v>30</v>
      </c>
      <c r="F29" s="9">
        <f t="shared" si="7"/>
        <v>0</v>
      </c>
      <c r="G29" s="9">
        <f t="shared" si="7"/>
        <v>0</v>
      </c>
      <c r="H29" s="9">
        <f t="shared" si="7"/>
        <v>0</v>
      </c>
      <c r="I29" s="9">
        <f t="shared" si="7"/>
        <v>0</v>
      </c>
      <c r="J29" s="9">
        <f t="shared" si="7"/>
        <v>0</v>
      </c>
      <c r="K29" s="9">
        <f t="shared" si="7"/>
        <v>0</v>
      </c>
      <c r="L29" s="9">
        <f t="shared" si="7"/>
        <v>0</v>
      </c>
      <c r="M29" s="9">
        <f t="shared" si="1"/>
        <v>30</v>
      </c>
      <c r="N29" s="57">
        <f t="shared" si="2"/>
        <v>5.3342816500711234E-3</v>
      </c>
      <c r="O29" s="9">
        <v>1</v>
      </c>
      <c r="P29" s="140" t="s">
        <v>219</v>
      </c>
      <c r="Q29" s="94" t="s">
        <v>30</v>
      </c>
      <c r="R29" s="95">
        <f>+E29-'Hoard matrices'!E28</f>
        <v>6</v>
      </c>
      <c r="S29" s="95">
        <f>+F29-'Hoard matrices'!F28</f>
        <v>0</v>
      </c>
      <c r="T29" s="95">
        <f>+G29-'Hoard matrices'!G28</f>
        <v>0</v>
      </c>
      <c r="U29" s="95">
        <f>+H29-'Hoard matrices'!H28</f>
        <v>0</v>
      </c>
      <c r="V29" s="95">
        <f>+I29-'Hoard matrices'!I28</f>
        <v>0</v>
      </c>
      <c r="W29" s="95">
        <f>+J29-'Hoard matrices'!J28</f>
        <v>0</v>
      </c>
      <c r="X29" s="95">
        <f>+K29-'Hoard matrices'!K28</f>
        <v>0</v>
      </c>
      <c r="Y29" s="95">
        <f>+L29-'Hoard matrices'!L28</f>
        <v>0</v>
      </c>
      <c r="Z29" s="95">
        <f t="shared" si="5"/>
        <v>6</v>
      </c>
      <c r="AA29" s="96">
        <f t="shared" si="3"/>
        <v>2.414486921529175E-3</v>
      </c>
      <c r="AB29" s="90">
        <v>1</v>
      </c>
      <c r="AC29" s="9">
        <f t="shared" si="4"/>
        <v>0</v>
      </c>
    </row>
    <row r="30" spans="2:29" s="9" customFormat="1" ht="15.75" x14ac:dyDescent="0.25">
      <c r="B30" s="6" t="s">
        <v>66</v>
      </c>
      <c r="C30" s="108" t="s">
        <v>220</v>
      </c>
      <c r="D30" s="6" t="s">
        <v>32</v>
      </c>
      <c r="E30" s="9">
        <f t="shared" si="7"/>
        <v>0</v>
      </c>
      <c r="F30" s="9">
        <f t="shared" si="7"/>
        <v>0</v>
      </c>
      <c r="G30" s="9">
        <f t="shared" si="7"/>
        <v>11</v>
      </c>
      <c r="H30" s="9">
        <f t="shared" si="7"/>
        <v>0</v>
      </c>
      <c r="I30" s="9">
        <f t="shared" si="7"/>
        <v>0</v>
      </c>
      <c r="J30" s="9">
        <f t="shared" si="7"/>
        <v>0</v>
      </c>
      <c r="K30" s="9">
        <f t="shared" si="7"/>
        <v>0</v>
      </c>
      <c r="L30" s="9">
        <f t="shared" si="7"/>
        <v>0</v>
      </c>
      <c r="M30" s="9">
        <f t="shared" si="1"/>
        <v>11</v>
      </c>
      <c r="N30" s="57">
        <f t="shared" si="2"/>
        <v>1.9559032716927453E-3</v>
      </c>
      <c r="O30" s="9">
        <v>4</v>
      </c>
      <c r="P30" s="140" t="s">
        <v>220</v>
      </c>
      <c r="Q30" s="94" t="s">
        <v>32</v>
      </c>
      <c r="R30" s="95">
        <f>+E30-'Hoard matrices'!E29</f>
        <v>0</v>
      </c>
      <c r="S30" s="95">
        <f>+F30-'Hoard matrices'!F29</f>
        <v>0</v>
      </c>
      <c r="T30" s="95">
        <f>+G30-'Hoard matrices'!G29</f>
        <v>7</v>
      </c>
      <c r="U30" s="95">
        <f>+H30-'Hoard matrices'!H29</f>
        <v>0</v>
      </c>
      <c r="V30" s="95">
        <f>+I30-'Hoard matrices'!I29</f>
        <v>0</v>
      </c>
      <c r="W30" s="95">
        <f>+J30-'Hoard matrices'!J29</f>
        <v>0</v>
      </c>
      <c r="X30" s="95">
        <f>+K30-'Hoard matrices'!K29</f>
        <v>0</v>
      </c>
      <c r="Y30" s="95">
        <f>+L30-'Hoard matrices'!L29</f>
        <v>0</v>
      </c>
      <c r="Z30" s="95">
        <f t="shared" si="5"/>
        <v>7</v>
      </c>
      <c r="AA30" s="96">
        <f t="shared" si="3"/>
        <v>2.8169014084507044E-3</v>
      </c>
      <c r="AB30" s="90">
        <v>4</v>
      </c>
      <c r="AC30" s="9">
        <f t="shared" si="4"/>
        <v>0</v>
      </c>
    </row>
    <row r="31" spans="2:29" s="9" customFormat="1" ht="15.75" x14ac:dyDescent="0.25">
      <c r="B31" s="20" t="s">
        <v>80</v>
      </c>
      <c r="C31" s="108" t="s">
        <v>221</v>
      </c>
      <c r="D31" s="20" t="s">
        <v>34</v>
      </c>
      <c r="E31" s="9">
        <f t="shared" si="7"/>
        <v>0</v>
      </c>
      <c r="F31" s="9">
        <f t="shared" si="7"/>
        <v>3</v>
      </c>
      <c r="G31" s="9">
        <f t="shared" si="7"/>
        <v>2</v>
      </c>
      <c r="H31" s="9">
        <f t="shared" si="7"/>
        <v>0</v>
      </c>
      <c r="I31" s="9">
        <f t="shared" si="7"/>
        <v>0</v>
      </c>
      <c r="J31" s="9">
        <f t="shared" si="7"/>
        <v>0</v>
      </c>
      <c r="K31" s="9">
        <f t="shared" si="7"/>
        <v>67</v>
      </c>
      <c r="L31" s="9">
        <f t="shared" si="7"/>
        <v>0</v>
      </c>
      <c r="M31" s="9">
        <f t="shared" si="1"/>
        <v>72</v>
      </c>
      <c r="N31" s="57">
        <f t="shared" si="2"/>
        <v>1.2802275960170697E-2</v>
      </c>
      <c r="O31" s="9">
        <v>3</v>
      </c>
      <c r="P31" s="140" t="s">
        <v>221</v>
      </c>
      <c r="Q31" s="97" t="s">
        <v>34</v>
      </c>
      <c r="R31" s="95">
        <f>+E31-'Hoard matrices'!E30</f>
        <v>0</v>
      </c>
      <c r="S31" s="95">
        <f>+F31-'Hoard matrices'!F30</f>
        <v>2</v>
      </c>
      <c r="T31" s="95">
        <f>+G31-'Hoard matrices'!G30</f>
        <v>1</v>
      </c>
      <c r="U31" s="95">
        <f>+H31-'Hoard matrices'!H30</f>
        <v>0</v>
      </c>
      <c r="V31" s="95">
        <f>+I31-'Hoard matrices'!I30</f>
        <v>0</v>
      </c>
      <c r="W31" s="95">
        <f>+J31-'Hoard matrices'!J30</f>
        <v>0</v>
      </c>
      <c r="X31" s="95">
        <f>+K31-'Hoard matrices'!K30</f>
        <v>15</v>
      </c>
      <c r="Y31" s="95">
        <f>+L31-'Hoard matrices'!L30</f>
        <v>0</v>
      </c>
      <c r="Z31" s="95">
        <f t="shared" si="5"/>
        <v>18</v>
      </c>
      <c r="AA31" s="96">
        <f t="shared" si="3"/>
        <v>7.2434607645875254E-3</v>
      </c>
      <c r="AB31" s="90">
        <v>3</v>
      </c>
      <c r="AC31" s="9">
        <f t="shared" si="4"/>
        <v>0</v>
      </c>
    </row>
    <row r="32" spans="2:29" s="9" customFormat="1" ht="15.75" x14ac:dyDescent="0.25">
      <c r="B32" s="20" t="s">
        <v>81</v>
      </c>
      <c r="C32" s="108" t="s">
        <v>222</v>
      </c>
      <c r="D32" s="20" t="s">
        <v>35</v>
      </c>
      <c r="E32" s="9">
        <f t="shared" si="7"/>
        <v>0</v>
      </c>
      <c r="F32" s="9">
        <f t="shared" si="7"/>
        <v>389</v>
      </c>
      <c r="G32" s="9">
        <f t="shared" si="7"/>
        <v>0</v>
      </c>
      <c r="H32" s="9">
        <f t="shared" si="7"/>
        <v>0</v>
      </c>
      <c r="I32" s="9">
        <f t="shared" si="7"/>
        <v>0</v>
      </c>
      <c r="J32" s="9">
        <f t="shared" si="7"/>
        <v>0</v>
      </c>
      <c r="K32" s="9">
        <f t="shared" si="7"/>
        <v>0</v>
      </c>
      <c r="L32" s="9">
        <f t="shared" si="7"/>
        <v>0</v>
      </c>
      <c r="M32" s="9">
        <f t="shared" si="1"/>
        <v>389</v>
      </c>
      <c r="N32" s="57">
        <f t="shared" si="2"/>
        <v>6.9167852062588908E-2</v>
      </c>
      <c r="O32" s="9">
        <v>1</v>
      </c>
      <c r="P32" s="140" t="s">
        <v>222</v>
      </c>
      <c r="Q32" s="97" t="s">
        <v>35</v>
      </c>
      <c r="R32" s="95">
        <f>+E32-'Hoard matrices'!E31</f>
        <v>0</v>
      </c>
      <c r="S32" s="95">
        <f>+F32-'Hoard matrices'!F31</f>
        <v>155</v>
      </c>
      <c r="T32" s="95">
        <f>+G32-'Hoard matrices'!G31</f>
        <v>0</v>
      </c>
      <c r="U32" s="95">
        <f>+H32-'Hoard matrices'!H31</f>
        <v>0</v>
      </c>
      <c r="V32" s="95">
        <f>+I32-'Hoard matrices'!I31</f>
        <v>0</v>
      </c>
      <c r="W32" s="95">
        <f>+J32-'Hoard matrices'!J31</f>
        <v>0</v>
      </c>
      <c r="X32" s="95">
        <f>+K32-'Hoard matrices'!K31</f>
        <v>0</v>
      </c>
      <c r="Y32" s="95">
        <f>+L32-'Hoard matrices'!L31</f>
        <v>0</v>
      </c>
      <c r="Z32" s="95">
        <f t="shared" si="5"/>
        <v>155</v>
      </c>
      <c r="AA32" s="96">
        <f t="shared" si="3"/>
        <v>6.2374245472837021E-2</v>
      </c>
      <c r="AB32" s="90">
        <v>1</v>
      </c>
      <c r="AC32" s="9">
        <f t="shared" si="4"/>
        <v>0</v>
      </c>
    </row>
    <row r="33" spans="2:29" s="9" customFormat="1" ht="15.75" x14ac:dyDescent="0.25">
      <c r="B33" s="20" t="s">
        <v>82</v>
      </c>
      <c r="C33" s="108" t="s">
        <v>223</v>
      </c>
      <c r="D33" s="20" t="s">
        <v>36</v>
      </c>
      <c r="E33" s="9">
        <f t="shared" si="7"/>
        <v>309</v>
      </c>
      <c r="F33" s="9">
        <f t="shared" si="7"/>
        <v>608</v>
      </c>
      <c r="G33" s="9">
        <f t="shared" si="7"/>
        <v>29</v>
      </c>
      <c r="H33" s="9">
        <f t="shared" si="7"/>
        <v>0</v>
      </c>
      <c r="I33" s="9">
        <f t="shared" si="7"/>
        <v>44</v>
      </c>
      <c r="J33" s="9">
        <f t="shared" si="7"/>
        <v>0</v>
      </c>
      <c r="K33" s="9">
        <f t="shared" si="7"/>
        <v>0</v>
      </c>
      <c r="L33" s="9">
        <f t="shared" si="7"/>
        <v>0</v>
      </c>
      <c r="M33" s="9">
        <f t="shared" si="1"/>
        <v>990</v>
      </c>
      <c r="N33" s="57">
        <f t="shared" si="2"/>
        <v>0.17603129445234708</v>
      </c>
      <c r="O33" s="9">
        <v>1</v>
      </c>
      <c r="P33" s="140" t="s">
        <v>223</v>
      </c>
      <c r="Q33" s="97" t="s">
        <v>36</v>
      </c>
      <c r="R33" s="95">
        <f>+E33-'Hoard matrices'!E32</f>
        <v>142</v>
      </c>
      <c r="S33" s="95">
        <f>+F33-'Hoard matrices'!F32</f>
        <v>223</v>
      </c>
      <c r="T33" s="95">
        <f>+G33-'Hoard matrices'!G32</f>
        <v>15</v>
      </c>
      <c r="U33" s="95">
        <f>+H33-'Hoard matrices'!H32</f>
        <v>0</v>
      </c>
      <c r="V33" s="95">
        <f>+I33-'Hoard matrices'!I32</f>
        <v>25</v>
      </c>
      <c r="W33" s="95">
        <f>+J33-'Hoard matrices'!J32</f>
        <v>0</v>
      </c>
      <c r="X33" s="95">
        <f>+K33-'Hoard matrices'!K32</f>
        <v>0</v>
      </c>
      <c r="Y33" s="95">
        <f>+L33-'Hoard matrices'!L32</f>
        <v>0</v>
      </c>
      <c r="Z33" s="95">
        <f t="shared" si="5"/>
        <v>405</v>
      </c>
      <c r="AA33" s="96">
        <f t="shared" si="3"/>
        <v>0.16297786720321933</v>
      </c>
      <c r="AB33" s="90">
        <v>1</v>
      </c>
      <c r="AC33" s="9">
        <f t="shared" si="4"/>
        <v>0</v>
      </c>
    </row>
    <row r="34" spans="2:29" s="9" customFormat="1" ht="15.75" x14ac:dyDescent="0.25">
      <c r="B34" s="6" t="s">
        <v>68</v>
      </c>
      <c r="C34" s="108" t="s">
        <v>224</v>
      </c>
      <c r="D34" s="6" t="s">
        <v>37</v>
      </c>
      <c r="E34" s="9">
        <f t="shared" si="7"/>
        <v>17</v>
      </c>
      <c r="F34" s="9">
        <f t="shared" si="7"/>
        <v>19</v>
      </c>
      <c r="G34" s="9">
        <f t="shared" si="7"/>
        <v>3</v>
      </c>
      <c r="H34" s="9">
        <f t="shared" si="7"/>
        <v>0</v>
      </c>
      <c r="I34" s="9">
        <f t="shared" si="7"/>
        <v>0</v>
      </c>
      <c r="J34" s="9">
        <f t="shared" si="7"/>
        <v>0</v>
      </c>
      <c r="K34" s="9">
        <f t="shared" si="7"/>
        <v>0</v>
      </c>
      <c r="L34" s="9">
        <f t="shared" si="7"/>
        <v>0</v>
      </c>
      <c r="M34" s="9">
        <f t="shared" si="1"/>
        <v>39</v>
      </c>
      <c r="N34" s="57">
        <f t="shared" si="2"/>
        <v>6.9345661450924611E-3</v>
      </c>
      <c r="O34" s="9">
        <v>2</v>
      </c>
      <c r="P34" s="140" t="s">
        <v>224</v>
      </c>
      <c r="Q34" s="94" t="s">
        <v>37</v>
      </c>
      <c r="R34" s="95">
        <f>+E34-'Hoard matrices'!E33</f>
        <v>8</v>
      </c>
      <c r="S34" s="95">
        <f>+F34-'Hoard matrices'!F33</f>
        <v>11</v>
      </c>
      <c r="T34" s="95">
        <f>+G34-'Hoard matrices'!G33</f>
        <v>2</v>
      </c>
      <c r="U34" s="95">
        <f>+H34-'Hoard matrices'!H33</f>
        <v>0</v>
      </c>
      <c r="V34" s="95">
        <f>+I34-'Hoard matrices'!I33</f>
        <v>0</v>
      </c>
      <c r="W34" s="95">
        <f>+J34-'Hoard matrices'!J33</f>
        <v>0</v>
      </c>
      <c r="X34" s="95">
        <f>+K34-'Hoard matrices'!K33</f>
        <v>0</v>
      </c>
      <c r="Y34" s="95">
        <f>+L34-'Hoard matrices'!L33</f>
        <v>0</v>
      </c>
      <c r="Z34" s="95">
        <f t="shared" si="5"/>
        <v>21</v>
      </c>
      <c r="AA34" s="96">
        <f t="shared" si="3"/>
        <v>8.4507042253521118E-3</v>
      </c>
      <c r="AB34" s="90">
        <v>2</v>
      </c>
      <c r="AC34" s="9">
        <f t="shared" si="4"/>
        <v>0</v>
      </c>
    </row>
    <row r="35" spans="2:29" s="9" customFormat="1" ht="15.75" x14ac:dyDescent="0.25">
      <c r="B35" s="6" t="s">
        <v>70</v>
      </c>
      <c r="C35" s="108" t="s">
        <v>225</v>
      </c>
      <c r="D35" s="6" t="s">
        <v>39</v>
      </c>
      <c r="E35" s="9">
        <f t="shared" ref="E35:L41" si="8">+E82+E125+E168+E211</f>
        <v>0</v>
      </c>
      <c r="F35" s="9">
        <f t="shared" si="8"/>
        <v>2</v>
      </c>
      <c r="G35" s="9">
        <f t="shared" si="8"/>
        <v>0</v>
      </c>
      <c r="H35" s="9">
        <f t="shared" si="8"/>
        <v>0</v>
      </c>
      <c r="I35" s="9">
        <f t="shared" si="8"/>
        <v>0</v>
      </c>
      <c r="J35" s="9">
        <f t="shared" si="8"/>
        <v>0</v>
      </c>
      <c r="K35" s="9">
        <f t="shared" si="8"/>
        <v>0</v>
      </c>
      <c r="L35" s="9">
        <f t="shared" si="8"/>
        <v>0</v>
      </c>
      <c r="M35" s="9">
        <f t="shared" si="1"/>
        <v>2</v>
      </c>
      <c r="N35" s="57">
        <f t="shared" si="2"/>
        <v>3.5561877667140827E-4</v>
      </c>
      <c r="O35" s="9">
        <v>1</v>
      </c>
      <c r="P35" s="140" t="s">
        <v>225</v>
      </c>
      <c r="Q35" s="94" t="s">
        <v>39</v>
      </c>
      <c r="R35" s="95">
        <f>+E35-'Hoard matrices'!E34</f>
        <v>0</v>
      </c>
      <c r="S35" s="95">
        <f>+F35-'Hoard matrices'!F34</f>
        <v>2</v>
      </c>
      <c r="T35" s="95">
        <f>+G35-'Hoard matrices'!G34</f>
        <v>0</v>
      </c>
      <c r="U35" s="95">
        <f>+H35-'Hoard matrices'!H34</f>
        <v>0</v>
      </c>
      <c r="V35" s="95">
        <f>+I35-'Hoard matrices'!I34</f>
        <v>0</v>
      </c>
      <c r="W35" s="95">
        <f>+J35-'Hoard matrices'!J34</f>
        <v>0</v>
      </c>
      <c r="X35" s="95">
        <f>+K35-'Hoard matrices'!K34</f>
        <v>0</v>
      </c>
      <c r="Y35" s="95">
        <f>+L35-'Hoard matrices'!L34</f>
        <v>0</v>
      </c>
      <c r="Z35" s="95">
        <f t="shared" si="5"/>
        <v>2</v>
      </c>
      <c r="AA35" s="96">
        <f t="shared" si="3"/>
        <v>8.0482897384305833E-4</v>
      </c>
      <c r="AB35" s="90">
        <v>1</v>
      </c>
      <c r="AC35" s="9">
        <f t="shared" si="4"/>
        <v>0</v>
      </c>
    </row>
    <row r="36" spans="2:29" s="9" customFormat="1" ht="15.75" x14ac:dyDescent="0.25">
      <c r="B36" s="6" t="s">
        <v>83</v>
      </c>
      <c r="C36" s="108" t="s">
        <v>226</v>
      </c>
      <c r="D36" s="20" t="s">
        <v>40</v>
      </c>
      <c r="E36" s="9">
        <f t="shared" si="8"/>
        <v>0</v>
      </c>
      <c r="F36" s="9">
        <f t="shared" si="8"/>
        <v>132</v>
      </c>
      <c r="G36" s="9">
        <f t="shared" si="8"/>
        <v>8</v>
      </c>
      <c r="H36" s="9">
        <f t="shared" si="8"/>
        <v>0</v>
      </c>
      <c r="I36" s="9">
        <f t="shared" si="8"/>
        <v>0</v>
      </c>
      <c r="J36" s="9">
        <f t="shared" si="8"/>
        <v>0</v>
      </c>
      <c r="K36" s="9">
        <f t="shared" si="8"/>
        <v>0</v>
      </c>
      <c r="L36" s="9">
        <f t="shared" si="8"/>
        <v>0</v>
      </c>
      <c r="M36" s="9">
        <f t="shared" si="1"/>
        <v>140</v>
      </c>
      <c r="N36" s="57">
        <f t="shared" si="2"/>
        <v>2.4893314366998577E-2</v>
      </c>
      <c r="O36" s="9">
        <v>1</v>
      </c>
      <c r="P36" s="140" t="s">
        <v>226</v>
      </c>
      <c r="Q36" s="97" t="s">
        <v>40</v>
      </c>
      <c r="R36" s="95">
        <f>+E36-'Hoard matrices'!E35</f>
        <v>0</v>
      </c>
      <c r="S36" s="95">
        <f>+F36-'Hoard matrices'!F35</f>
        <v>60</v>
      </c>
      <c r="T36" s="95">
        <f>+G36-'Hoard matrices'!G35</f>
        <v>4</v>
      </c>
      <c r="U36" s="95">
        <f>+H36-'Hoard matrices'!H35</f>
        <v>0</v>
      </c>
      <c r="V36" s="95">
        <f>+I36-'Hoard matrices'!I35</f>
        <v>0</v>
      </c>
      <c r="W36" s="95">
        <f>+J36-'Hoard matrices'!J35</f>
        <v>0</v>
      </c>
      <c r="X36" s="95">
        <f>+K36-'Hoard matrices'!K35</f>
        <v>0</v>
      </c>
      <c r="Y36" s="95">
        <f>+L36-'Hoard matrices'!L35</f>
        <v>0</v>
      </c>
      <c r="Z36" s="95">
        <f t="shared" si="5"/>
        <v>64</v>
      </c>
      <c r="AA36" s="96">
        <f t="shared" si="3"/>
        <v>2.5754527162977867E-2</v>
      </c>
      <c r="AB36" s="90">
        <v>1</v>
      </c>
      <c r="AC36" s="9">
        <f t="shared" si="4"/>
        <v>0</v>
      </c>
    </row>
    <row r="37" spans="2:29" s="9" customFormat="1" ht="15.75" x14ac:dyDescent="0.25">
      <c r="B37" s="6" t="s">
        <v>84</v>
      </c>
      <c r="C37" s="108" t="s">
        <v>227</v>
      </c>
      <c r="D37" s="6" t="s">
        <v>46</v>
      </c>
      <c r="E37" s="9">
        <f t="shared" si="8"/>
        <v>43</v>
      </c>
      <c r="F37" s="9">
        <f t="shared" si="8"/>
        <v>76</v>
      </c>
      <c r="G37" s="9">
        <f t="shared" si="8"/>
        <v>0</v>
      </c>
      <c r="H37" s="9">
        <f t="shared" si="8"/>
        <v>0</v>
      </c>
      <c r="I37" s="9">
        <f t="shared" si="8"/>
        <v>0</v>
      </c>
      <c r="J37" s="9">
        <f t="shared" si="8"/>
        <v>0</v>
      </c>
      <c r="K37" s="9">
        <f t="shared" si="8"/>
        <v>0</v>
      </c>
      <c r="L37" s="9">
        <f t="shared" si="8"/>
        <v>0</v>
      </c>
      <c r="M37" s="9">
        <f t="shared" si="1"/>
        <v>119</v>
      </c>
      <c r="N37" s="57">
        <f t="shared" si="2"/>
        <v>2.1159317211948792E-2</v>
      </c>
      <c r="O37" s="9">
        <v>2</v>
      </c>
      <c r="P37" s="140" t="s">
        <v>227</v>
      </c>
      <c r="Q37" s="94" t="s">
        <v>46</v>
      </c>
      <c r="R37" s="95">
        <f>+E37-'Hoard matrices'!E36</f>
        <v>21</v>
      </c>
      <c r="S37" s="95">
        <f>+F37-'Hoard matrices'!F36</f>
        <v>32</v>
      </c>
      <c r="T37" s="95">
        <f>+G37-'Hoard matrices'!G36</f>
        <v>0</v>
      </c>
      <c r="U37" s="95">
        <f>+H37-'Hoard matrices'!H36</f>
        <v>0</v>
      </c>
      <c r="V37" s="95">
        <f>+I37-'Hoard matrices'!I36</f>
        <v>0</v>
      </c>
      <c r="W37" s="95">
        <f>+J37-'Hoard matrices'!J36</f>
        <v>0</v>
      </c>
      <c r="X37" s="95">
        <f>+K37-'Hoard matrices'!K36</f>
        <v>0</v>
      </c>
      <c r="Y37" s="95">
        <f>+L37-'Hoard matrices'!L36</f>
        <v>0</v>
      </c>
      <c r="Z37" s="95">
        <f t="shared" si="5"/>
        <v>53</v>
      </c>
      <c r="AA37" s="96">
        <f t="shared" si="3"/>
        <v>2.1327967806841045E-2</v>
      </c>
      <c r="AB37" s="90">
        <v>2</v>
      </c>
      <c r="AC37" s="9">
        <f t="shared" si="4"/>
        <v>0</v>
      </c>
    </row>
    <row r="38" spans="2:29" s="9" customFormat="1" ht="15.75" x14ac:dyDescent="0.25">
      <c r="B38" s="6" t="s">
        <v>72</v>
      </c>
      <c r="C38" s="108" t="s">
        <v>228</v>
      </c>
      <c r="D38" s="20" t="s">
        <v>42</v>
      </c>
      <c r="E38" s="9">
        <f t="shared" si="8"/>
        <v>0</v>
      </c>
      <c r="F38" s="9">
        <f t="shared" si="8"/>
        <v>0</v>
      </c>
      <c r="G38" s="9">
        <f t="shared" si="8"/>
        <v>0</v>
      </c>
      <c r="H38" s="9">
        <f t="shared" si="8"/>
        <v>0</v>
      </c>
      <c r="I38" s="9">
        <f t="shared" si="8"/>
        <v>51</v>
      </c>
      <c r="J38" s="9">
        <f t="shared" si="8"/>
        <v>0</v>
      </c>
      <c r="K38" s="9">
        <f t="shared" si="8"/>
        <v>0</v>
      </c>
      <c r="L38" s="9">
        <f t="shared" si="8"/>
        <v>0</v>
      </c>
      <c r="M38" s="9">
        <f t="shared" si="1"/>
        <v>51</v>
      </c>
      <c r="N38" s="57">
        <f t="shared" si="2"/>
        <v>9.06827880512091E-3</v>
      </c>
      <c r="O38" s="9">
        <v>1</v>
      </c>
      <c r="P38" s="140" t="s">
        <v>228</v>
      </c>
      <c r="Q38" s="97" t="s">
        <v>42</v>
      </c>
      <c r="R38" s="95">
        <f>+E38-'Hoard matrices'!E37</f>
        <v>0</v>
      </c>
      <c r="S38" s="95">
        <f>+F38-'Hoard matrices'!F37</f>
        <v>0</v>
      </c>
      <c r="T38" s="95">
        <f>+G38-'Hoard matrices'!G37</f>
        <v>0</v>
      </c>
      <c r="U38" s="95">
        <f>+H38-'Hoard matrices'!H37</f>
        <v>0</v>
      </c>
      <c r="V38" s="95">
        <f>+I38-'Hoard matrices'!I37</f>
        <v>31</v>
      </c>
      <c r="W38" s="95">
        <f>+J38-'Hoard matrices'!J37</f>
        <v>0</v>
      </c>
      <c r="X38" s="95">
        <f>+K38-'Hoard matrices'!K37</f>
        <v>0</v>
      </c>
      <c r="Y38" s="95">
        <f>+L38-'Hoard matrices'!L37</f>
        <v>0</v>
      </c>
      <c r="Z38" s="95">
        <f t="shared" si="5"/>
        <v>31</v>
      </c>
      <c r="AA38" s="96">
        <f t="shared" si="3"/>
        <v>1.2474849094567404E-2</v>
      </c>
      <c r="AB38" s="90">
        <v>1</v>
      </c>
      <c r="AC38" s="9">
        <f t="shared" si="4"/>
        <v>0</v>
      </c>
    </row>
    <row r="39" spans="2:29" s="9" customFormat="1" ht="15.75" x14ac:dyDescent="0.25">
      <c r="B39" s="6" t="s">
        <v>74</v>
      </c>
      <c r="C39" s="108" t="s">
        <v>229</v>
      </c>
      <c r="D39" s="6" t="s">
        <v>44</v>
      </c>
      <c r="E39" s="9">
        <f t="shared" si="8"/>
        <v>29</v>
      </c>
      <c r="F39" s="9">
        <f t="shared" si="8"/>
        <v>121</v>
      </c>
      <c r="G39" s="9">
        <f t="shared" si="8"/>
        <v>0</v>
      </c>
      <c r="H39" s="9">
        <f t="shared" si="8"/>
        <v>0</v>
      </c>
      <c r="I39" s="9">
        <f t="shared" si="8"/>
        <v>0</v>
      </c>
      <c r="J39" s="9">
        <f t="shared" si="8"/>
        <v>0</v>
      </c>
      <c r="K39" s="9">
        <f t="shared" si="8"/>
        <v>0</v>
      </c>
      <c r="L39" s="9">
        <f t="shared" si="8"/>
        <v>46</v>
      </c>
      <c r="M39" s="9">
        <f t="shared" si="1"/>
        <v>196</v>
      </c>
      <c r="N39" s="57">
        <f t="shared" si="2"/>
        <v>3.4850640113798008E-2</v>
      </c>
      <c r="O39" s="9">
        <v>3</v>
      </c>
      <c r="P39" s="140" t="s">
        <v>229</v>
      </c>
      <c r="Q39" s="94" t="s">
        <v>44</v>
      </c>
      <c r="R39" s="95">
        <f>+E39-'Hoard matrices'!E38</f>
        <v>21</v>
      </c>
      <c r="S39" s="95">
        <f>+F39-'Hoard matrices'!F38</f>
        <v>45</v>
      </c>
      <c r="T39" s="95">
        <f>+G39-'Hoard matrices'!G38</f>
        <v>0</v>
      </c>
      <c r="U39" s="95">
        <f>+H39-'Hoard matrices'!H38</f>
        <v>0</v>
      </c>
      <c r="V39" s="95">
        <f>+I39-'Hoard matrices'!I38</f>
        <v>0</v>
      </c>
      <c r="W39" s="95">
        <f>+J39-'Hoard matrices'!J38</f>
        <v>0</v>
      </c>
      <c r="X39" s="95">
        <f>+K39-'Hoard matrices'!K38</f>
        <v>-12</v>
      </c>
      <c r="Y39" s="95">
        <f>+L39-'Hoard matrices'!L38</f>
        <v>33</v>
      </c>
      <c r="Z39" s="95">
        <f t="shared" si="5"/>
        <v>87</v>
      </c>
      <c r="AA39" s="96">
        <f t="shared" si="3"/>
        <v>3.5010060362173037E-2</v>
      </c>
      <c r="AB39" s="90">
        <v>2</v>
      </c>
      <c r="AC39" s="9">
        <f t="shared" si="4"/>
        <v>1</v>
      </c>
    </row>
    <row r="40" spans="2:29" s="9" customFormat="1" ht="15.75" x14ac:dyDescent="0.25">
      <c r="B40" s="6" t="s">
        <v>75</v>
      </c>
      <c r="C40" s="108" t="s">
        <v>230</v>
      </c>
      <c r="D40" s="6" t="s">
        <v>45</v>
      </c>
      <c r="E40" s="9">
        <f t="shared" si="8"/>
        <v>0</v>
      </c>
      <c r="F40" s="9">
        <f t="shared" si="8"/>
        <v>27</v>
      </c>
      <c r="G40" s="9">
        <f t="shared" si="8"/>
        <v>0</v>
      </c>
      <c r="H40" s="9">
        <f t="shared" si="8"/>
        <v>0</v>
      </c>
      <c r="I40" s="9">
        <f t="shared" si="8"/>
        <v>19</v>
      </c>
      <c r="J40" s="9">
        <f t="shared" si="8"/>
        <v>0</v>
      </c>
      <c r="K40" s="9">
        <f t="shared" si="8"/>
        <v>0</v>
      </c>
      <c r="L40" s="9">
        <f t="shared" si="8"/>
        <v>0</v>
      </c>
      <c r="M40" s="9">
        <f t="shared" si="1"/>
        <v>46</v>
      </c>
      <c r="N40" s="57">
        <f t="shared" si="2"/>
        <v>8.1792318634423891E-3</v>
      </c>
      <c r="O40" s="9">
        <v>3</v>
      </c>
      <c r="P40" s="140" t="s">
        <v>230</v>
      </c>
      <c r="Q40" s="94" t="s">
        <v>45</v>
      </c>
      <c r="R40" s="95">
        <f>+E40-'Hoard matrices'!E39</f>
        <v>0</v>
      </c>
      <c r="S40" s="95">
        <f>+F40-'Hoard matrices'!F39</f>
        <v>11</v>
      </c>
      <c r="T40" s="95">
        <f>+G40-'Hoard matrices'!G39</f>
        <v>0</v>
      </c>
      <c r="U40" s="95">
        <f>+H40-'Hoard matrices'!H39</f>
        <v>0</v>
      </c>
      <c r="V40" s="95">
        <f>+I40-'Hoard matrices'!I39</f>
        <v>9</v>
      </c>
      <c r="W40" s="95">
        <f>+J40-'Hoard matrices'!J39</f>
        <v>0</v>
      </c>
      <c r="X40" s="95">
        <f>+K40-'Hoard matrices'!K39</f>
        <v>0</v>
      </c>
      <c r="Y40" s="95">
        <f>+L40-'Hoard matrices'!L39</f>
        <v>0</v>
      </c>
      <c r="Z40" s="95">
        <f t="shared" si="5"/>
        <v>20</v>
      </c>
      <c r="AA40" s="96">
        <f t="shared" si="3"/>
        <v>8.0482897384305842E-3</v>
      </c>
      <c r="AB40" s="90">
        <v>3</v>
      </c>
      <c r="AC40" s="9">
        <f t="shared" si="4"/>
        <v>0</v>
      </c>
    </row>
    <row r="41" spans="2:29" s="9" customFormat="1" ht="15.75" x14ac:dyDescent="0.25">
      <c r="B41" s="6" t="s">
        <v>85</v>
      </c>
      <c r="C41" s="108" t="s">
        <v>231</v>
      </c>
      <c r="D41" s="6" t="s">
        <v>184</v>
      </c>
      <c r="E41" s="9">
        <f t="shared" si="8"/>
        <v>47</v>
      </c>
      <c r="F41" s="9">
        <f t="shared" si="8"/>
        <v>83</v>
      </c>
      <c r="G41" s="9">
        <f t="shared" si="8"/>
        <v>3</v>
      </c>
      <c r="H41" s="9">
        <f t="shared" si="8"/>
        <v>0</v>
      </c>
      <c r="I41" s="9">
        <f t="shared" si="8"/>
        <v>11</v>
      </c>
      <c r="J41" s="9">
        <f t="shared" si="8"/>
        <v>0</v>
      </c>
      <c r="K41" s="9">
        <f t="shared" si="8"/>
        <v>5</v>
      </c>
      <c r="L41" s="9">
        <f t="shared" si="8"/>
        <v>0</v>
      </c>
      <c r="M41" s="9">
        <f t="shared" si="1"/>
        <v>149</v>
      </c>
      <c r="N41" s="57">
        <f t="shared" si="2"/>
        <v>2.6493598862019914E-2</v>
      </c>
      <c r="P41" s="140" t="s">
        <v>231</v>
      </c>
      <c r="Q41" s="94" t="s">
        <v>184</v>
      </c>
      <c r="R41" s="95">
        <f>+E41-'Hoard matrices'!E40</f>
        <v>31</v>
      </c>
      <c r="S41" s="95">
        <f>+F41-'Hoard matrices'!F40</f>
        <v>72</v>
      </c>
      <c r="T41" s="95">
        <f>+G41-'Hoard matrices'!G40</f>
        <v>3</v>
      </c>
      <c r="U41" s="95">
        <f>+H41-'Hoard matrices'!H40</f>
        <v>0</v>
      </c>
      <c r="V41" s="95">
        <f>+I41-'Hoard matrices'!I40</f>
        <v>10</v>
      </c>
      <c r="W41" s="95">
        <f>+J41-'Hoard matrices'!J40</f>
        <v>0</v>
      </c>
      <c r="X41" s="95">
        <f>+K41-'Hoard matrices'!K40</f>
        <v>3</v>
      </c>
      <c r="Y41" s="95">
        <f>+L41-'Hoard matrices'!L40</f>
        <v>0</v>
      </c>
      <c r="Z41" s="95">
        <f t="shared" si="5"/>
        <v>119</v>
      </c>
      <c r="AA41" s="96">
        <f t="shared" si="3"/>
        <v>4.788732394366197E-2</v>
      </c>
      <c r="AB41" s="90"/>
    </row>
    <row r="42" spans="2:29" s="9" customFormat="1" ht="16.5" thickBot="1" x14ac:dyDescent="0.3">
      <c r="B42" s="6"/>
      <c r="C42" s="8"/>
      <c r="D42" s="8" t="s">
        <v>185</v>
      </c>
      <c r="E42" s="21">
        <f t="shared" ref="E42:N42" si="9">SUM(E5:E41)</f>
        <v>1354</v>
      </c>
      <c r="F42" s="21">
        <f t="shared" si="9"/>
        <v>2802</v>
      </c>
      <c r="G42" s="21">
        <f t="shared" si="9"/>
        <v>171</v>
      </c>
      <c r="H42" s="21">
        <f t="shared" si="9"/>
        <v>740</v>
      </c>
      <c r="I42" s="21">
        <f t="shared" si="9"/>
        <v>246</v>
      </c>
      <c r="J42" s="21">
        <f t="shared" si="9"/>
        <v>20</v>
      </c>
      <c r="K42" s="21">
        <f t="shared" si="9"/>
        <v>245</v>
      </c>
      <c r="L42" s="21">
        <f t="shared" si="9"/>
        <v>46</v>
      </c>
      <c r="M42" s="64">
        <f t="shared" si="9"/>
        <v>5624</v>
      </c>
      <c r="N42" s="83">
        <f t="shared" si="9"/>
        <v>1</v>
      </c>
      <c r="P42" s="138"/>
      <c r="Q42" s="99" t="s">
        <v>185</v>
      </c>
      <c r="R42" s="100">
        <f t="shared" ref="R42:AA42" si="10">SUM(R5:R41)</f>
        <v>730</v>
      </c>
      <c r="S42" s="100">
        <f t="shared" si="10"/>
        <v>1101</v>
      </c>
      <c r="T42" s="100">
        <f t="shared" si="10"/>
        <v>104</v>
      </c>
      <c r="U42" s="100">
        <f t="shared" si="10"/>
        <v>300</v>
      </c>
      <c r="V42" s="100">
        <f t="shared" si="10"/>
        <v>135</v>
      </c>
      <c r="W42" s="100">
        <f t="shared" si="10"/>
        <v>8</v>
      </c>
      <c r="X42" s="100">
        <f t="shared" si="10"/>
        <v>74</v>
      </c>
      <c r="Y42" s="100">
        <f t="shared" si="10"/>
        <v>33</v>
      </c>
      <c r="Z42" s="100">
        <f t="shared" si="10"/>
        <v>2485</v>
      </c>
      <c r="AA42" s="101">
        <f t="shared" si="10"/>
        <v>1</v>
      </c>
      <c r="AB42" s="90"/>
    </row>
    <row r="43" spans="2:29" s="9" customFormat="1" ht="16.5" thickTop="1" x14ac:dyDescent="0.25">
      <c r="B43" s="6"/>
      <c r="C43" s="6"/>
      <c r="F43" s="11"/>
      <c r="G43" s="11" t="s">
        <v>118</v>
      </c>
      <c r="H43" s="9">
        <f>+H42+F42</f>
        <v>3542</v>
      </c>
      <c r="L43" s="63" t="s">
        <v>180</v>
      </c>
      <c r="M43" s="34">
        <v>36</v>
      </c>
      <c r="P43" s="138"/>
      <c r="Q43" s="102"/>
      <c r="R43" s="95"/>
      <c r="S43" s="103"/>
      <c r="T43" s="118" t="s">
        <v>118</v>
      </c>
      <c r="U43" s="95">
        <f>+U42+S42</f>
        <v>1401</v>
      </c>
      <c r="V43" s="95"/>
      <c r="W43" s="95"/>
      <c r="X43" s="95"/>
      <c r="Y43" s="119" t="s">
        <v>180</v>
      </c>
      <c r="Z43" s="95">
        <v>36</v>
      </c>
      <c r="AA43" s="95"/>
      <c r="AB43" s="90"/>
    </row>
    <row r="44" spans="2:29" s="9" customFormat="1" ht="15.75" x14ac:dyDescent="0.25">
      <c r="B44" s="6"/>
      <c r="C44" s="6"/>
      <c r="D44" s="55" t="s">
        <v>177</v>
      </c>
      <c r="E44" s="56">
        <f t="shared" ref="E44:M44" si="11">+E42/$M42</f>
        <v>0.24075391180654337</v>
      </c>
      <c r="F44" s="56">
        <f t="shared" si="11"/>
        <v>0.49822190611664297</v>
      </c>
      <c r="G44" s="56">
        <f t="shared" si="11"/>
        <v>3.0405405405405407E-2</v>
      </c>
      <c r="H44" s="56">
        <f t="shared" si="11"/>
        <v>0.13157894736842105</v>
      </c>
      <c r="I44" s="56">
        <f t="shared" si="11"/>
        <v>4.3741109530583216E-2</v>
      </c>
      <c r="J44" s="56">
        <f t="shared" si="11"/>
        <v>3.5561877667140826E-3</v>
      </c>
      <c r="K44" s="56">
        <f t="shared" si="11"/>
        <v>4.3563300142247512E-2</v>
      </c>
      <c r="L44" s="56">
        <f t="shared" si="11"/>
        <v>8.1792318634423891E-3</v>
      </c>
      <c r="M44" s="56">
        <f t="shared" si="11"/>
        <v>1</v>
      </c>
      <c r="N44" s="59"/>
      <c r="P44" s="138"/>
      <c r="Q44" s="104" t="s">
        <v>177</v>
      </c>
      <c r="R44" s="96">
        <f t="shared" ref="R44:Z44" si="12">+R42/$Z42</f>
        <v>0.29376257545271628</v>
      </c>
      <c r="S44" s="96">
        <f t="shared" si="12"/>
        <v>0.44305835010060363</v>
      </c>
      <c r="T44" s="96">
        <f t="shared" si="12"/>
        <v>4.1851106639839035E-2</v>
      </c>
      <c r="U44" s="96">
        <f t="shared" si="12"/>
        <v>0.12072434607645875</v>
      </c>
      <c r="V44" s="96">
        <f t="shared" si="12"/>
        <v>5.4325955734406441E-2</v>
      </c>
      <c r="W44" s="96">
        <f t="shared" si="12"/>
        <v>3.2193158953722333E-3</v>
      </c>
      <c r="X44" s="96">
        <f t="shared" si="12"/>
        <v>2.977867203219316E-2</v>
      </c>
      <c r="Y44" s="96">
        <f t="shared" si="12"/>
        <v>1.3279678068410463E-2</v>
      </c>
      <c r="Z44" s="96">
        <f t="shared" si="12"/>
        <v>1</v>
      </c>
      <c r="AA44" s="95"/>
      <c r="AB44" s="90"/>
    </row>
    <row r="45" spans="2:29" s="9" customFormat="1" ht="16.5" thickBot="1" x14ac:dyDescent="0.3">
      <c r="B45" s="6"/>
      <c r="C45" s="6"/>
      <c r="D45" s="8" t="s">
        <v>186</v>
      </c>
      <c r="E45" s="79">
        <v>28</v>
      </c>
      <c r="F45" s="79">
        <v>21</v>
      </c>
      <c r="G45" s="79">
        <v>11</v>
      </c>
      <c r="H45" s="79">
        <v>1</v>
      </c>
      <c r="I45" s="79">
        <v>6</v>
      </c>
      <c r="J45" s="79">
        <v>4</v>
      </c>
      <c r="K45" s="79">
        <v>4</v>
      </c>
      <c r="L45" s="79">
        <v>1</v>
      </c>
      <c r="M45" s="79"/>
      <c r="N45" s="79"/>
      <c r="O45" s="9">
        <f>SUM(O5:O40)</f>
        <v>76</v>
      </c>
      <c r="P45" s="138"/>
      <c r="Q45" s="105" t="s">
        <v>186</v>
      </c>
      <c r="R45" s="106">
        <v>27</v>
      </c>
      <c r="S45" s="106">
        <v>21</v>
      </c>
      <c r="T45" s="106">
        <v>11</v>
      </c>
      <c r="U45" s="106">
        <v>1</v>
      </c>
      <c r="V45" s="106">
        <v>6</v>
      </c>
      <c r="W45" s="106">
        <v>4</v>
      </c>
      <c r="X45" s="106">
        <v>4</v>
      </c>
      <c r="Y45" s="106">
        <v>1</v>
      </c>
      <c r="Z45" s="106"/>
      <c r="AA45" s="106"/>
      <c r="AB45" s="107">
        <f>SUM(AB5:AB40)</f>
        <v>75</v>
      </c>
    </row>
    <row r="46" spans="2:29" s="9" customFormat="1" ht="15.75" x14ac:dyDescent="0.25">
      <c r="B46" s="6"/>
      <c r="C46" s="6"/>
      <c r="D46" s="8" t="s">
        <v>258</v>
      </c>
      <c r="E46" s="129" t="str">
        <f>+Summary!C51</f>
        <v>32</v>
      </c>
      <c r="F46" s="129" t="str">
        <f>+Summary!C53</f>
        <v>3</v>
      </c>
      <c r="G46" s="129" t="str">
        <f>+Summary!C54</f>
        <v>1</v>
      </c>
      <c r="H46" s="129" t="str">
        <f>+Summary!C55</f>
        <v>7</v>
      </c>
      <c r="I46" s="129" t="str">
        <f>+Summary!C56</f>
        <v>18</v>
      </c>
      <c r="J46" s="129" t="str">
        <f>+Summary!C57</f>
        <v>40</v>
      </c>
      <c r="K46" s="129" t="str">
        <f>+Summary!C59</f>
        <v>13</v>
      </c>
      <c r="L46" s="129" t="str">
        <f>+Summary!C60</f>
        <v>51</v>
      </c>
      <c r="M46" s="130">
        <f>+L46+K46+J46+I46+H46+G46+F46+E46</f>
        <v>165</v>
      </c>
      <c r="N46" s="129"/>
      <c r="O46" s="10"/>
      <c r="P46" s="138"/>
      <c r="Q46" s="181" t="s">
        <v>258</v>
      </c>
      <c r="R46" s="131" t="str">
        <f t="shared" ref="R46:Z46" si="13">+E46</f>
        <v>32</v>
      </c>
      <c r="S46" s="131" t="str">
        <f t="shared" si="13"/>
        <v>3</v>
      </c>
      <c r="T46" s="131" t="str">
        <f t="shared" si="13"/>
        <v>1</v>
      </c>
      <c r="U46" s="131" t="str">
        <f t="shared" si="13"/>
        <v>7</v>
      </c>
      <c r="V46" s="131" t="str">
        <f t="shared" si="13"/>
        <v>18</v>
      </c>
      <c r="W46" s="131" t="str">
        <f t="shared" si="13"/>
        <v>40</v>
      </c>
      <c r="X46" s="131" t="str">
        <f t="shared" si="13"/>
        <v>13</v>
      </c>
      <c r="Y46" s="131" t="str">
        <f t="shared" si="13"/>
        <v>51</v>
      </c>
      <c r="Z46" s="131">
        <f t="shared" si="13"/>
        <v>165</v>
      </c>
      <c r="AA46" s="128"/>
      <c r="AB46" s="90"/>
    </row>
    <row r="47" spans="2:29" s="9" customFormat="1" ht="16.5" thickBot="1" x14ac:dyDescent="0.3">
      <c r="B47" s="6"/>
      <c r="C47" s="6"/>
      <c r="D47" s="8" t="s">
        <v>261</v>
      </c>
      <c r="E47" s="206">
        <f t="shared" ref="E47:M47" si="14">+E42/E46</f>
        <v>42.3125</v>
      </c>
      <c r="F47" s="206">
        <f t="shared" si="14"/>
        <v>934</v>
      </c>
      <c r="G47" s="206">
        <f t="shared" si="14"/>
        <v>171</v>
      </c>
      <c r="H47" s="206">
        <f t="shared" si="14"/>
        <v>105.71428571428571</v>
      </c>
      <c r="I47" s="206">
        <f t="shared" si="14"/>
        <v>13.666666666666666</v>
      </c>
      <c r="J47" s="206">
        <f t="shared" si="14"/>
        <v>0.5</v>
      </c>
      <c r="K47" s="206">
        <f t="shared" si="14"/>
        <v>18.846153846153847</v>
      </c>
      <c r="L47" s="206">
        <f t="shared" si="14"/>
        <v>0.90196078431372551</v>
      </c>
      <c r="M47" s="206">
        <f t="shared" si="14"/>
        <v>34.084848484848486</v>
      </c>
      <c r="N47" s="79"/>
      <c r="P47" s="138"/>
      <c r="Q47" s="182" t="s">
        <v>261</v>
      </c>
      <c r="R47" s="183">
        <f t="shared" ref="R47:Z47" si="15">+R42/R46</f>
        <v>22.8125</v>
      </c>
      <c r="S47" s="183">
        <f t="shared" si="15"/>
        <v>367</v>
      </c>
      <c r="T47" s="183">
        <f t="shared" si="15"/>
        <v>104</v>
      </c>
      <c r="U47" s="183">
        <f t="shared" si="15"/>
        <v>42.857142857142854</v>
      </c>
      <c r="V47" s="183">
        <f t="shared" si="15"/>
        <v>7.5</v>
      </c>
      <c r="W47" s="183">
        <f t="shared" si="15"/>
        <v>0.2</v>
      </c>
      <c r="X47" s="183">
        <f t="shared" si="15"/>
        <v>5.6923076923076925</v>
      </c>
      <c r="Y47" s="183">
        <f t="shared" si="15"/>
        <v>0.6470588235294118</v>
      </c>
      <c r="Z47" s="183">
        <f t="shared" si="15"/>
        <v>15.060606060606061</v>
      </c>
      <c r="AA47" s="106"/>
      <c r="AB47" s="107"/>
    </row>
    <row r="48" spans="2:29" s="9" customFormat="1" ht="16.5" thickBot="1" x14ac:dyDescent="0.3">
      <c r="B48" s="6"/>
      <c r="C48" s="6"/>
      <c r="D48" s="8"/>
      <c r="E48" s="79"/>
      <c r="F48" s="79"/>
      <c r="G48" s="79"/>
      <c r="H48" s="79"/>
      <c r="I48" s="79"/>
      <c r="J48" s="79"/>
      <c r="K48" s="79"/>
      <c r="L48" s="79"/>
      <c r="M48" s="79"/>
      <c r="N48" s="79"/>
      <c r="P48" s="138"/>
    </row>
    <row r="49" spans="2:29" s="9" customFormat="1" ht="15.75" x14ac:dyDescent="0.25">
      <c r="B49" s="5" t="s">
        <v>124</v>
      </c>
      <c r="C49" s="5"/>
      <c r="D49" s="6"/>
      <c r="F49" s="11"/>
      <c r="N49" s="10"/>
      <c r="P49" s="138"/>
      <c r="Q49" s="149" t="s">
        <v>282</v>
      </c>
      <c r="R49" s="150"/>
      <c r="S49" s="151"/>
      <c r="T49" s="152"/>
      <c r="U49" s="153"/>
      <c r="V49" s="152"/>
      <c r="W49" s="152"/>
      <c r="X49" s="152"/>
      <c r="Y49" s="152"/>
      <c r="Z49" s="152"/>
      <c r="AA49" s="152"/>
      <c r="AB49" s="152"/>
      <c r="AC49" s="154"/>
    </row>
    <row r="50" spans="2:29" s="9" customFormat="1" ht="15.75" x14ac:dyDescent="0.25">
      <c r="B50" s="19" t="s">
        <v>47</v>
      </c>
      <c r="C50" s="19"/>
      <c r="D50" s="19" t="s">
        <v>187</v>
      </c>
      <c r="F50" s="11"/>
      <c r="N50" s="10"/>
      <c r="P50" s="138"/>
      <c r="Q50" s="155" t="s">
        <v>47</v>
      </c>
      <c r="R50" s="156"/>
      <c r="S50" s="156" t="s">
        <v>187</v>
      </c>
      <c r="T50" s="157"/>
      <c r="U50" s="158"/>
      <c r="V50" s="157"/>
      <c r="W50" s="157"/>
      <c r="X50" s="157"/>
      <c r="Y50" s="157"/>
      <c r="Z50" s="157"/>
      <c r="AA50" s="157"/>
      <c r="AB50" s="157"/>
      <c r="AC50" s="159"/>
    </row>
    <row r="51" spans="2:29" s="9" customFormat="1" ht="15.75" x14ac:dyDescent="0.25">
      <c r="B51" s="18" t="s">
        <v>76</v>
      </c>
      <c r="C51" s="18"/>
      <c r="D51" s="82" t="s">
        <v>188</v>
      </c>
      <c r="E51" s="7" t="s">
        <v>24</v>
      </c>
      <c r="F51" s="7" t="s">
        <v>137</v>
      </c>
      <c r="G51" s="7" t="s">
        <v>138</v>
      </c>
      <c r="H51" s="7" t="s">
        <v>137</v>
      </c>
      <c r="I51" s="7" t="s">
        <v>139</v>
      </c>
      <c r="J51" s="7" t="s">
        <v>143</v>
      </c>
      <c r="K51" s="7" t="s">
        <v>144</v>
      </c>
      <c r="L51" s="7" t="s">
        <v>145</v>
      </c>
      <c r="M51" s="7" t="s">
        <v>116</v>
      </c>
      <c r="N51" s="7" t="s">
        <v>177</v>
      </c>
      <c r="P51" s="138"/>
      <c r="Q51" s="160" t="s">
        <v>268</v>
      </c>
      <c r="R51" s="161"/>
      <c r="S51" s="162" t="s">
        <v>188</v>
      </c>
      <c r="T51" s="163" t="s">
        <v>24</v>
      </c>
      <c r="U51" s="163" t="s">
        <v>137</v>
      </c>
      <c r="V51" s="163" t="s">
        <v>138</v>
      </c>
      <c r="W51" s="163" t="s">
        <v>137</v>
      </c>
      <c r="X51" s="163" t="s">
        <v>139</v>
      </c>
      <c r="Y51" s="163" t="s">
        <v>143</v>
      </c>
      <c r="Z51" s="163" t="s">
        <v>144</v>
      </c>
      <c r="AA51" s="163" t="s">
        <v>145</v>
      </c>
      <c r="AB51" s="163" t="s">
        <v>116</v>
      </c>
      <c r="AC51" s="164" t="s">
        <v>177</v>
      </c>
    </row>
    <row r="52" spans="2:29" s="9" customFormat="1" ht="15.75" x14ac:dyDescent="0.25">
      <c r="B52" s="6" t="s">
        <v>62</v>
      </c>
      <c r="C52" s="77" t="s">
        <v>197</v>
      </c>
      <c r="D52" s="82" t="s">
        <v>27</v>
      </c>
      <c r="E52" s="81">
        <v>1</v>
      </c>
      <c r="M52" s="9">
        <f t="shared" ref="M52:M88" si="16">SUM(E52:L52)</f>
        <v>1</v>
      </c>
      <c r="N52" s="57">
        <f t="shared" ref="N52:N88" si="17">+M52/M$89</f>
        <v>2.7359781121751026E-4</v>
      </c>
      <c r="P52" s="138"/>
      <c r="Q52" s="165" t="s">
        <v>62</v>
      </c>
      <c r="R52" s="166" t="s">
        <v>197</v>
      </c>
      <c r="S52" s="162" t="s">
        <v>27</v>
      </c>
      <c r="T52" s="167">
        <v>1</v>
      </c>
      <c r="U52" s="157"/>
      <c r="V52" s="157"/>
      <c r="W52" s="157"/>
      <c r="X52" s="157"/>
      <c r="Y52" s="157"/>
      <c r="Z52" s="157"/>
      <c r="AA52" s="157"/>
      <c r="AB52" s="157">
        <f t="shared" ref="AB52:AB88" si="18">SUM(T52:AA52)</f>
        <v>1</v>
      </c>
      <c r="AC52" s="168">
        <f t="shared" ref="AC52:AC88" si="19">+AB52/AB$89</f>
        <v>2.7247956403269756E-4</v>
      </c>
    </row>
    <row r="53" spans="2:29" s="9" customFormat="1" ht="15.75" x14ac:dyDescent="0.25">
      <c r="B53" s="6" t="s">
        <v>63</v>
      </c>
      <c r="C53" s="77" t="s">
        <v>198</v>
      </c>
      <c r="D53" s="82" t="s">
        <v>28</v>
      </c>
      <c r="E53" s="81"/>
      <c r="F53" s="9">
        <v>1</v>
      </c>
      <c r="J53" s="81">
        <v>6</v>
      </c>
      <c r="K53" s="9">
        <v>61</v>
      </c>
      <c r="M53" s="9">
        <f t="shared" si="16"/>
        <v>68</v>
      </c>
      <c r="N53" s="57">
        <f t="shared" si="17"/>
        <v>1.8604651162790697E-2</v>
      </c>
      <c r="P53" s="138"/>
      <c r="Q53" s="165" t="s">
        <v>63</v>
      </c>
      <c r="R53" s="166" t="s">
        <v>198</v>
      </c>
      <c r="S53" s="162" t="s">
        <v>28</v>
      </c>
      <c r="T53" s="167">
        <v>23</v>
      </c>
      <c r="U53" s="157"/>
      <c r="V53" s="157"/>
      <c r="W53" s="157"/>
      <c r="X53" s="157"/>
      <c r="Y53" s="167">
        <v>6</v>
      </c>
      <c r="Z53" s="157">
        <v>63</v>
      </c>
      <c r="AA53" s="157"/>
      <c r="AB53" s="157">
        <f t="shared" si="18"/>
        <v>92</v>
      </c>
      <c r="AC53" s="168">
        <f t="shared" si="19"/>
        <v>2.5068119891008173E-2</v>
      </c>
    </row>
    <row r="54" spans="2:29" s="9" customFormat="1" ht="15.75" x14ac:dyDescent="0.25">
      <c r="B54" s="6" t="s">
        <v>53</v>
      </c>
      <c r="C54" s="77" t="s">
        <v>213</v>
      </c>
      <c r="D54" s="82" t="s">
        <v>18</v>
      </c>
      <c r="E54" s="81">
        <v>2</v>
      </c>
      <c r="M54" s="9">
        <f t="shared" si="16"/>
        <v>2</v>
      </c>
      <c r="N54" s="57">
        <f t="shared" si="17"/>
        <v>5.4719562243502051E-4</v>
      </c>
      <c r="P54" s="138"/>
      <c r="Q54" s="165" t="s">
        <v>53</v>
      </c>
      <c r="R54" s="166" t="s">
        <v>213</v>
      </c>
      <c r="S54" s="162" t="s">
        <v>18</v>
      </c>
      <c r="T54" s="167">
        <v>2</v>
      </c>
      <c r="U54" s="157"/>
      <c r="V54" s="157"/>
      <c r="W54" s="157"/>
      <c r="X54" s="157"/>
      <c r="Y54" s="157"/>
      <c r="Z54" s="157"/>
      <c r="AA54" s="157"/>
      <c r="AB54" s="157">
        <f t="shared" si="18"/>
        <v>2</v>
      </c>
      <c r="AC54" s="168">
        <f t="shared" si="19"/>
        <v>5.4495912806539512E-4</v>
      </c>
    </row>
    <row r="55" spans="2:29" s="9" customFormat="1" ht="15.75" x14ac:dyDescent="0.25">
      <c r="B55" s="6" t="s">
        <v>55</v>
      </c>
      <c r="C55" s="77" t="s">
        <v>199</v>
      </c>
      <c r="D55" s="82" t="s">
        <v>20</v>
      </c>
      <c r="E55" s="81">
        <v>6</v>
      </c>
      <c r="J55" s="81">
        <v>4</v>
      </c>
      <c r="M55" s="9">
        <f t="shared" si="16"/>
        <v>10</v>
      </c>
      <c r="N55" s="57">
        <f t="shared" si="17"/>
        <v>2.7359781121751026E-3</v>
      </c>
      <c r="P55" s="138"/>
      <c r="Q55" s="165" t="s">
        <v>55</v>
      </c>
      <c r="R55" s="166" t="s">
        <v>199</v>
      </c>
      <c r="S55" s="162" t="s">
        <v>20</v>
      </c>
      <c r="T55" s="167">
        <v>6</v>
      </c>
      <c r="U55" s="157"/>
      <c r="V55" s="157"/>
      <c r="W55" s="157"/>
      <c r="X55" s="157"/>
      <c r="Y55" s="167">
        <v>4</v>
      </c>
      <c r="Z55" s="157"/>
      <c r="AA55" s="157"/>
      <c r="AB55" s="157">
        <f t="shared" si="18"/>
        <v>10</v>
      </c>
      <c r="AC55" s="168">
        <f t="shared" si="19"/>
        <v>2.7247956403269754E-3</v>
      </c>
    </row>
    <row r="56" spans="2:29" s="9" customFormat="1" ht="15.75" x14ac:dyDescent="0.25">
      <c r="B56" s="6" t="s">
        <v>56</v>
      </c>
      <c r="C56" s="77" t="s">
        <v>200</v>
      </c>
      <c r="D56" s="82" t="s">
        <v>21</v>
      </c>
      <c r="E56" s="81">
        <v>9</v>
      </c>
      <c r="M56" s="9">
        <f t="shared" si="16"/>
        <v>9</v>
      </c>
      <c r="N56" s="57">
        <f t="shared" si="17"/>
        <v>2.4623803009575923E-3</v>
      </c>
      <c r="P56" s="138"/>
      <c r="Q56" s="165" t="s">
        <v>56</v>
      </c>
      <c r="R56" s="166" t="s">
        <v>200</v>
      </c>
      <c r="S56" s="162" t="s">
        <v>21</v>
      </c>
      <c r="T56" s="167">
        <v>9</v>
      </c>
      <c r="U56" s="157"/>
      <c r="V56" s="157"/>
      <c r="W56" s="157"/>
      <c r="X56" s="157"/>
      <c r="Y56" s="157"/>
      <c r="Z56" s="157"/>
      <c r="AA56" s="157"/>
      <c r="AB56" s="157">
        <f t="shared" si="18"/>
        <v>9</v>
      </c>
      <c r="AC56" s="168">
        <f t="shared" si="19"/>
        <v>2.4523160762942781E-3</v>
      </c>
    </row>
    <row r="57" spans="2:29" s="9" customFormat="1" ht="15.75" x14ac:dyDescent="0.25">
      <c r="B57" s="6" t="s">
        <v>57</v>
      </c>
      <c r="C57" s="77" t="s">
        <v>201</v>
      </c>
      <c r="D57" s="82" t="s">
        <v>22</v>
      </c>
      <c r="E57" s="81">
        <v>33</v>
      </c>
      <c r="F57" s="9">
        <v>4</v>
      </c>
      <c r="M57" s="9">
        <f t="shared" si="16"/>
        <v>37</v>
      </c>
      <c r="N57" s="57">
        <f t="shared" si="17"/>
        <v>1.0123119015047879E-2</v>
      </c>
      <c r="P57" s="138"/>
      <c r="Q57" s="165" t="s">
        <v>57</v>
      </c>
      <c r="R57" s="166" t="s">
        <v>201</v>
      </c>
      <c r="S57" s="162" t="s">
        <v>22</v>
      </c>
      <c r="T57" s="167">
        <v>29</v>
      </c>
      <c r="U57" s="157">
        <v>4</v>
      </c>
      <c r="V57" s="157"/>
      <c r="W57" s="157"/>
      <c r="X57" s="157"/>
      <c r="Y57" s="157"/>
      <c r="Z57" s="157"/>
      <c r="AA57" s="157"/>
      <c r="AB57" s="157">
        <f t="shared" si="18"/>
        <v>33</v>
      </c>
      <c r="AC57" s="168">
        <f t="shared" si="19"/>
        <v>8.9918256130790183E-3</v>
      </c>
    </row>
    <row r="58" spans="2:29" s="9" customFormat="1" ht="15.75" x14ac:dyDescent="0.25">
      <c r="B58" s="6" t="s">
        <v>79</v>
      </c>
      <c r="C58" s="77" t="s">
        <v>202</v>
      </c>
      <c r="D58" s="82" t="s">
        <v>31</v>
      </c>
      <c r="E58" s="81">
        <v>18</v>
      </c>
      <c r="G58" s="9">
        <v>3</v>
      </c>
      <c r="M58" s="9">
        <f t="shared" si="16"/>
        <v>21</v>
      </c>
      <c r="N58" s="57">
        <f t="shared" si="17"/>
        <v>5.7455540355677154E-3</v>
      </c>
      <c r="P58" s="138"/>
      <c r="Q58" s="165" t="s">
        <v>79</v>
      </c>
      <c r="R58" s="166" t="s">
        <v>202</v>
      </c>
      <c r="S58" s="162" t="s">
        <v>31</v>
      </c>
      <c r="T58" s="167">
        <v>16</v>
      </c>
      <c r="U58" s="157"/>
      <c r="V58" s="157"/>
      <c r="W58" s="157"/>
      <c r="X58" s="157"/>
      <c r="Y58" s="157"/>
      <c r="Z58" s="157"/>
      <c r="AA58" s="157"/>
      <c r="AB58" s="157">
        <f t="shared" si="18"/>
        <v>16</v>
      </c>
      <c r="AC58" s="168">
        <f t="shared" si="19"/>
        <v>4.359673024523161E-3</v>
      </c>
    </row>
    <row r="59" spans="2:29" s="9" customFormat="1" ht="15.75" x14ac:dyDescent="0.25">
      <c r="B59" s="6" t="s">
        <v>67</v>
      </c>
      <c r="C59" s="77" t="s">
        <v>203</v>
      </c>
      <c r="D59" s="82" t="s">
        <v>33</v>
      </c>
      <c r="E59" s="81">
        <v>18</v>
      </c>
      <c r="M59" s="9">
        <f t="shared" si="16"/>
        <v>18</v>
      </c>
      <c r="N59" s="57">
        <f t="shared" si="17"/>
        <v>4.9247606019151846E-3</v>
      </c>
      <c r="P59" s="138"/>
      <c r="Q59" s="165" t="s">
        <v>67</v>
      </c>
      <c r="R59" s="166" t="s">
        <v>203</v>
      </c>
      <c r="S59" s="162" t="s">
        <v>33</v>
      </c>
      <c r="T59" s="167">
        <v>5</v>
      </c>
      <c r="U59" s="157"/>
      <c r="V59" s="157"/>
      <c r="W59" s="157"/>
      <c r="X59" s="157"/>
      <c r="Y59" s="157"/>
      <c r="Z59" s="157"/>
      <c r="AA59" s="157"/>
      <c r="AB59" s="157">
        <f t="shared" si="18"/>
        <v>5</v>
      </c>
      <c r="AC59" s="168">
        <f t="shared" si="19"/>
        <v>1.3623978201634877E-3</v>
      </c>
    </row>
    <row r="60" spans="2:29" s="9" customFormat="1" ht="15.75" x14ac:dyDescent="0.25">
      <c r="B60" s="6" t="s">
        <v>69</v>
      </c>
      <c r="C60" s="77" t="s">
        <v>204</v>
      </c>
      <c r="D60" s="82" t="s">
        <v>38</v>
      </c>
      <c r="E60" s="81">
        <v>3</v>
      </c>
      <c r="M60" s="9">
        <f t="shared" si="16"/>
        <v>3</v>
      </c>
      <c r="N60" s="57">
        <f t="shared" si="17"/>
        <v>8.2079343365253077E-4</v>
      </c>
      <c r="P60" s="138"/>
      <c r="Q60" s="165" t="s">
        <v>69</v>
      </c>
      <c r="R60" s="166" t="s">
        <v>204</v>
      </c>
      <c r="S60" s="162" t="s">
        <v>38</v>
      </c>
      <c r="T60" s="167">
        <v>3</v>
      </c>
      <c r="U60" s="157"/>
      <c r="V60" s="157"/>
      <c r="W60" s="157"/>
      <c r="X60" s="157"/>
      <c r="Y60" s="157"/>
      <c r="Z60" s="157"/>
      <c r="AA60" s="157"/>
      <c r="AB60" s="157">
        <f t="shared" si="18"/>
        <v>3</v>
      </c>
      <c r="AC60" s="168">
        <f t="shared" si="19"/>
        <v>8.1743869209809268E-4</v>
      </c>
    </row>
    <row r="61" spans="2:29" s="9" customFormat="1" ht="15.75" x14ac:dyDescent="0.25">
      <c r="B61" s="6" t="s">
        <v>71</v>
      </c>
      <c r="C61" s="77" t="s">
        <v>205</v>
      </c>
      <c r="D61" s="82" t="s">
        <v>41</v>
      </c>
      <c r="E61" s="81">
        <v>4</v>
      </c>
      <c r="M61" s="9">
        <f t="shared" si="16"/>
        <v>4</v>
      </c>
      <c r="N61" s="57">
        <f t="shared" si="17"/>
        <v>1.094391244870041E-3</v>
      </c>
      <c r="P61" s="138"/>
      <c r="Q61" s="165" t="s">
        <v>71</v>
      </c>
      <c r="R61" s="166" t="s">
        <v>205</v>
      </c>
      <c r="S61" s="162" t="s">
        <v>41</v>
      </c>
      <c r="T61" s="167">
        <v>5</v>
      </c>
      <c r="U61" s="157"/>
      <c r="V61" s="157"/>
      <c r="W61" s="157"/>
      <c r="X61" s="157"/>
      <c r="Y61" s="157"/>
      <c r="Z61" s="157"/>
      <c r="AA61" s="157"/>
      <c r="AB61" s="157">
        <f t="shared" si="18"/>
        <v>5</v>
      </c>
      <c r="AC61" s="168">
        <f t="shared" si="19"/>
        <v>1.3623978201634877E-3</v>
      </c>
    </row>
    <row r="62" spans="2:29" s="9" customFormat="1" ht="15.75" x14ac:dyDescent="0.25">
      <c r="B62" s="6" t="s">
        <v>73</v>
      </c>
      <c r="C62" s="77" t="s">
        <v>206</v>
      </c>
      <c r="D62" s="82" t="s">
        <v>43</v>
      </c>
      <c r="E62" s="81">
        <v>8</v>
      </c>
      <c r="M62" s="9">
        <f t="shared" si="16"/>
        <v>8</v>
      </c>
      <c r="N62" s="57">
        <f t="shared" si="17"/>
        <v>2.188782489740082E-3</v>
      </c>
      <c r="P62" s="138"/>
      <c r="Q62" s="165" t="s">
        <v>73</v>
      </c>
      <c r="R62" s="166" t="s">
        <v>206</v>
      </c>
      <c r="S62" s="162" t="s">
        <v>43</v>
      </c>
      <c r="T62" s="167">
        <v>8</v>
      </c>
      <c r="U62" s="157"/>
      <c r="V62" s="157"/>
      <c r="W62" s="157"/>
      <c r="X62" s="157"/>
      <c r="Y62" s="157"/>
      <c r="Z62" s="157"/>
      <c r="AA62" s="157"/>
      <c r="AB62" s="157">
        <f t="shared" si="18"/>
        <v>8</v>
      </c>
      <c r="AC62" s="168">
        <f t="shared" si="19"/>
        <v>2.1798365122615805E-3</v>
      </c>
    </row>
    <row r="63" spans="2:29" s="9" customFormat="1" ht="15.75" x14ac:dyDescent="0.25">
      <c r="B63" s="6" t="s">
        <v>61</v>
      </c>
      <c r="C63" s="77" t="s">
        <v>196</v>
      </c>
      <c r="D63" s="6" t="s">
        <v>26</v>
      </c>
      <c r="I63" s="9">
        <v>17</v>
      </c>
      <c r="K63" s="9">
        <v>35</v>
      </c>
      <c r="M63" s="9">
        <f t="shared" si="16"/>
        <v>52</v>
      </c>
      <c r="N63" s="57">
        <f t="shared" si="17"/>
        <v>1.4227086183310533E-2</v>
      </c>
      <c r="P63" s="138"/>
      <c r="Q63" s="165" t="s">
        <v>61</v>
      </c>
      <c r="R63" s="166" t="s">
        <v>196</v>
      </c>
      <c r="S63" s="169" t="s">
        <v>26</v>
      </c>
      <c r="T63" s="157"/>
      <c r="U63" s="157"/>
      <c r="V63" s="157"/>
      <c r="W63" s="157"/>
      <c r="X63" s="157">
        <v>17</v>
      </c>
      <c r="Y63" s="157"/>
      <c r="Z63" s="157">
        <v>35</v>
      </c>
      <c r="AA63" s="157"/>
      <c r="AB63" s="157">
        <f t="shared" si="18"/>
        <v>52</v>
      </c>
      <c r="AC63" s="168">
        <f t="shared" si="19"/>
        <v>1.4168937329700272E-2</v>
      </c>
    </row>
    <row r="64" spans="2:29" s="9" customFormat="1" ht="15.75" x14ac:dyDescent="0.25">
      <c r="B64" s="6" t="s">
        <v>48</v>
      </c>
      <c r="C64" s="77" t="s">
        <v>207</v>
      </c>
      <c r="D64" s="6" t="s">
        <v>12</v>
      </c>
      <c r="E64" s="9">
        <v>44</v>
      </c>
      <c r="M64" s="9">
        <f t="shared" si="16"/>
        <v>44</v>
      </c>
      <c r="N64" s="57">
        <f t="shared" si="17"/>
        <v>1.2038303693570451E-2</v>
      </c>
      <c r="P64" s="138"/>
      <c r="Q64" s="165" t="s">
        <v>48</v>
      </c>
      <c r="R64" s="166" t="s">
        <v>207</v>
      </c>
      <c r="S64" s="169" t="s">
        <v>12</v>
      </c>
      <c r="T64" s="157">
        <v>54</v>
      </c>
      <c r="U64" s="157"/>
      <c r="V64" s="157"/>
      <c r="W64" s="157"/>
      <c r="X64" s="157"/>
      <c r="Y64" s="157"/>
      <c r="Z64" s="157"/>
      <c r="AA64" s="157"/>
      <c r="AB64" s="157">
        <f t="shared" si="18"/>
        <v>54</v>
      </c>
      <c r="AC64" s="168">
        <f t="shared" si="19"/>
        <v>1.4713896457765668E-2</v>
      </c>
    </row>
    <row r="65" spans="2:29" s="9" customFormat="1" ht="15.75" x14ac:dyDescent="0.25">
      <c r="B65" s="6" t="s">
        <v>77</v>
      </c>
      <c r="C65" s="77" t="s">
        <v>208</v>
      </c>
      <c r="D65" s="20" t="s">
        <v>13</v>
      </c>
      <c r="F65" s="9">
        <v>121</v>
      </c>
      <c r="G65" s="9">
        <v>4</v>
      </c>
      <c r="M65" s="9">
        <f t="shared" si="16"/>
        <v>125</v>
      </c>
      <c r="N65" s="57">
        <f t="shared" si="17"/>
        <v>3.4199726402188782E-2</v>
      </c>
      <c r="P65" s="138"/>
      <c r="Q65" s="165" t="s">
        <v>269</v>
      </c>
      <c r="R65" s="166" t="s">
        <v>208</v>
      </c>
      <c r="S65" s="169" t="s">
        <v>13</v>
      </c>
      <c r="T65" s="157">
        <v>50</v>
      </c>
      <c r="U65" s="157">
        <v>147</v>
      </c>
      <c r="V65" s="157">
        <v>3</v>
      </c>
      <c r="W65" s="157"/>
      <c r="X65" s="157"/>
      <c r="Y65" s="157"/>
      <c r="Z65" s="157"/>
      <c r="AA65" s="157"/>
      <c r="AB65" s="157">
        <f t="shared" si="18"/>
        <v>200</v>
      </c>
      <c r="AC65" s="168">
        <f t="shared" si="19"/>
        <v>5.4495912806539509E-2</v>
      </c>
    </row>
    <row r="66" spans="2:29" s="9" customFormat="1" ht="15.75" x14ac:dyDescent="0.25">
      <c r="B66" s="6" t="s">
        <v>49</v>
      </c>
      <c r="C66" s="77" t="s">
        <v>209</v>
      </c>
      <c r="D66" s="6" t="s">
        <v>14</v>
      </c>
      <c r="E66" s="9">
        <v>1</v>
      </c>
      <c r="M66" s="9">
        <f t="shared" si="16"/>
        <v>1</v>
      </c>
      <c r="N66" s="57">
        <f t="shared" si="17"/>
        <v>2.7359781121751026E-4</v>
      </c>
      <c r="P66" s="138"/>
      <c r="Q66" s="165" t="s">
        <v>49</v>
      </c>
      <c r="R66" s="166" t="s">
        <v>209</v>
      </c>
      <c r="S66" s="169" t="s">
        <v>14</v>
      </c>
      <c r="T66" s="157">
        <v>1</v>
      </c>
      <c r="U66" s="157"/>
      <c r="V66" s="157"/>
      <c r="W66" s="157"/>
      <c r="X66" s="157"/>
      <c r="Y66" s="157"/>
      <c r="Z66" s="157"/>
      <c r="AA66" s="157"/>
      <c r="AB66" s="157">
        <f t="shared" si="18"/>
        <v>1</v>
      </c>
      <c r="AC66" s="168">
        <f t="shared" si="19"/>
        <v>2.7247956403269756E-4</v>
      </c>
    </row>
    <row r="67" spans="2:29" s="9" customFormat="1" ht="15.75" x14ac:dyDescent="0.25">
      <c r="B67" s="6" t="s">
        <v>50</v>
      </c>
      <c r="C67" s="77" t="s">
        <v>210</v>
      </c>
      <c r="D67" s="6" t="s">
        <v>15</v>
      </c>
      <c r="E67" s="9">
        <v>103</v>
      </c>
      <c r="F67" s="9">
        <v>53</v>
      </c>
      <c r="G67" s="9">
        <v>17</v>
      </c>
      <c r="M67" s="9">
        <f t="shared" si="16"/>
        <v>173</v>
      </c>
      <c r="N67" s="57">
        <f t="shared" si="17"/>
        <v>4.7332421340629274E-2</v>
      </c>
      <c r="P67" s="138"/>
      <c r="Q67" s="165" t="s">
        <v>50</v>
      </c>
      <c r="R67" s="166" t="s">
        <v>210</v>
      </c>
      <c r="S67" s="169" t="s">
        <v>15</v>
      </c>
      <c r="T67" s="157">
        <v>135</v>
      </c>
      <c r="U67" s="157">
        <v>74</v>
      </c>
      <c r="V67" s="157">
        <v>17</v>
      </c>
      <c r="W67" s="157"/>
      <c r="X67" s="157"/>
      <c r="Y67" s="157"/>
      <c r="Z67" s="157"/>
      <c r="AA67" s="157"/>
      <c r="AB67" s="157">
        <f t="shared" si="18"/>
        <v>226</v>
      </c>
      <c r="AC67" s="168">
        <f t="shared" si="19"/>
        <v>6.1580381471389646E-2</v>
      </c>
    </row>
    <row r="68" spans="2:29" s="9" customFormat="1" ht="15.75" x14ac:dyDescent="0.25">
      <c r="B68" s="6" t="s">
        <v>51</v>
      </c>
      <c r="C68" s="77" t="s">
        <v>211</v>
      </c>
      <c r="D68" s="6" t="s">
        <v>16</v>
      </c>
      <c r="F68" s="9">
        <v>6</v>
      </c>
      <c r="G68" s="9">
        <v>7</v>
      </c>
      <c r="K68" s="9">
        <v>71</v>
      </c>
      <c r="M68" s="9">
        <f t="shared" si="16"/>
        <v>84</v>
      </c>
      <c r="N68" s="57">
        <f t="shared" si="17"/>
        <v>2.2982216142270862E-2</v>
      </c>
      <c r="P68" s="138"/>
      <c r="Q68" s="165" t="s">
        <v>51</v>
      </c>
      <c r="R68" s="166" t="s">
        <v>211</v>
      </c>
      <c r="S68" s="169" t="s">
        <v>16</v>
      </c>
      <c r="T68" s="157"/>
      <c r="U68" s="157"/>
      <c r="V68" s="157">
        <v>6</v>
      </c>
      <c r="W68" s="157"/>
      <c r="X68" s="157"/>
      <c r="Y68" s="157"/>
      <c r="Z68" s="157">
        <v>70</v>
      </c>
      <c r="AA68" s="157"/>
      <c r="AB68" s="157">
        <f t="shared" si="18"/>
        <v>76</v>
      </c>
      <c r="AC68" s="168">
        <f t="shared" si="19"/>
        <v>2.0708446866485014E-2</v>
      </c>
    </row>
    <row r="69" spans="2:29" s="9" customFormat="1" ht="15.75" x14ac:dyDescent="0.25">
      <c r="B69" s="6" t="s">
        <v>52</v>
      </c>
      <c r="C69" s="77" t="s">
        <v>212</v>
      </c>
      <c r="D69" s="6" t="s">
        <v>17</v>
      </c>
      <c r="G69" s="9">
        <v>8</v>
      </c>
      <c r="M69" s="9">
        <f t="shared" si="16"/>
        <v>8</v>
      </c>
      <c r="N69" s="57">
        <f t="shared" si="17"/>
        <v>2.188782489740082E-3</v>
      </c>
      <c r="P69" s="138"/>
      <c r="Q69" s="165" t="s">
        <v>52</v>
      </c>
      <c r="R69" s="166" t="s">
        <v>212</v>
      </c>
      <c r="S69" s="169" t="s">
        <v>17</v>
      </c>
      <c r="T69" s="157">
        <v>2</v>
      </c>
      <c r="U69" s="157"/>
      <c r="V69" s="157">
        <v>8</v>
      </c>
      <c r="W69" s="157"/>
      <c r="X69" s="157"/>
      <c r="Y69" s="157"/>
      <c r="Z69" s="157"/>
      <c r="AA69" s="157"/>
      <c r="AB69" s="157">
        <f t="shared" si="18"/>
        <v>10</v>
      </c>
      <c r="AC69" s="168">
        <f t="shared" si="19"/>
        <v>2.7247956403269754E-3</v>
      </c>
    </row>
    <row r="70" spans="2:29" s="9" customFormat="1" ht="15.75" x14ac:dyDescent="0.25">
      <c r="B70" s="6" t="s">
        <v>54</v>
      </c>
      <c r="C70" s="77" t="s">
        <v>214</v>
      </c>
      <c r="D70" s="6" t="s">
        <v>19</v>
      </c>
      <c r="F70" s="9">
        <v>20</v>
      </c>
      <c r="M70" s="9">
        <f t="shared" si="16"/>
        <v>20</v>
      </c>
      <c r="N70" s="57">
        <f t="shared" si="17"/>
        <v>5.4719562243502051E-3</v>
      </c>
      <c r="P70" s="138"/>
      <c r="Q70" s="165" t="s">
        <v>54</v>
      </c>
      <c r="R70" s="166" t="s">
        <v>214</v>
      </c>
      <c r="S70" s="169" t="s">
        <v>19</v>
      </c>
      <c r="T70" s="157">
        <v>4</v>
      </c>
      <c r="U70" s="157">
        <v>16</v>
      </c>
      <c r="V70" s="157"/>
      <c r="W70" s="157"/>
      <c r="X70" s="157"/>
      <c r="Y70" s="157"/>
      <c r="Z70" s="157"/>
      <c r="AA70" s="157"/>
      <c r="AB70" s="157">
        <f t="shared" si="18"/>
        <v>20</v>
      </c>
      <c r="AC70" s="168">
        <f t="shared" si="19"/>
        <v>5.4495912806539508E-3</v>
      </c>
    </row>
    <row r="71" spans="2:29" s="9" customFormat="1" ht="15.75" x14ac:dyDescent="0.25">
      <c r="B71" s="6" t="s">
        <v>58</v>
      </c>
      <c r="C71" s="77" t="s">
        <v>232</v>
      </c>
      <c r="D71" s="6" t="s">
        <v>23</v>
      </c>
      <c r="J71" s="9">
        <v>9</v>
      </c>
      <c r="M71" s="9">
        <f t="shared" si="16"/>
        <v>9</v>
      </c>
      <c r="N71" s="57">
        <f t="shared" si="17"/>
        <v>2.4623803009575923E-3</v>
      </c>
      <c r="P71" s="138"/>
      <c r="Q71" s="165" t="s">
        <v>58</v>
      </c>
      <c r="R71" s="166" t="s">
        <v>232</v>
      </c>
      <c r="S71" s="169" t="s">
        <v>23</v>
      </c>
      <c r="T71" s="157">
        <v>4</v>
      </c>
      <c r="U71" s="157"/>
      <c r="V71" s="157"/>
      <c r="W71" s="157"/>
      <c r="X71" s="157"/>
      <c r="Y71" s="157">
        <v>9</v>
      </c>
      <c r="Z71" s="157"/>
      <c r="AA71" s="157"/>
      <c r="AB71" s="157">
        <f t="shared" si="18"/>
        <v>13</v>
      </c>
      <c r="AC71" s="168">
        <f t="shared" si="19"/>
        <v>3.5422343324250679E-3</v>
      </c>
    </row>
    <row r="72" spans="2:29" s="9" customFormat="1" ht="15.75" x14ac:dyDescent="0.25">
      <c r="B72" s="6" t="s">
        <v>59</v>
      </c>
      <c r="C72" s="77" t="s">
        <v>215</v>
      </c>
      <c r="D72" s="6" t="s">
        <v>24</v>
      </c>
      <c r="E72" s="9">
        <v>2</v>
      </c>
      <c r="F72" s="9">
        <v>397</v>
      </c>
      <c r="G72" s="9">
        <v>4</v>
      </c>
      <c r="M72" s="9">
        <f t="shared" si="16"/>
        <v>403</v>
      </c>
      <c r="N72" s="57">
        <f t="shared" si="17"/>
        <v>0.11025991792065663</v>
      </c>
      <c r="P72" s="138"/>
      <c r="Q72" s="165" t="s">
        <v>59</v>
      </c>
      <c r="R72" s="166" t="s">
        <v>215</v>
      </c>
      <c r="S72" s="169" t="s">
        <v>24</v>
      </c>
      <c r="T72" s="157"/>
      <c r="U72" s="157">
        <v>121</v>
      </c>
      <c r="V72" s="157"/>
      <c r="W72" s="157"/>
      <c r="X72" s="157"/>
      <c r="Y72" s="157"/>
      <c r="Z72" s="157"/>
      <c r="AA72" s="157"/>
      <c r="AB72" s="157">
        <f t="shared" si="18"/>
        <v>121</v>
      </c>
      <c r="AC72" s="168">
        <f t="shared" si="19"/>
        <v>3.2970027247956404E-2</v>
      </c>
    </row>
    <row r="73" spans="2:29" s="9" customFormat="1" ht="15.75" x14ac:dyDescent="0.25">
      <c r="B73" s="6" t="s">
        <v>60</v>
      </c>
      <c r="C73" s="77" t="s">
        <v>216</v>
      </c>
      <c r="D73" s="6" t="s">
        <v>25</v>
      </c>
      <c r="F73" s="9">
        <v>8</v>
      </c>
      <c r="I73" s="9">
        <v>63</v>
      </c>
      <c r="M73" s="9">
        <f t="shared" si="16"/>
        <v>71</v>
      </c>
      <c r="N73" s="57">
        <f t="shared" si="17"/>
        <v>1.9425444596443228E-2</v>
      </c>
      <c r="P73" s="138"/>
      <c r="Q73" s="165" t="s">
        <v>60</v>
      </c>
      <c r="R73" s="166" t="s">
        <v>216</v>
      </c>
      <c r="S73" s="169" t="s">
        <v>25</v>
      </c>
      <c r="T73" s="157">
        <v>1</v>
      </c>
      <c r="U73" s="157">
        <v>6</v>
      </c>
      <c r="V73" s="157"/>
      <c r="W73" s="157"/>
      <c r="X73" s="157">
        <v>59</v>
      </c>
      <c r="Y73" s="157"/>
      <c r="Z73" s="157"/>
      <c r="AA73" s="157"/>
      <c r="AB73" s="157">
        <f t="shared" si="18"/>
        <v>66</v>
      </c>
      <c r="AC73" s="168">
        <f t="shared" si="19"/>
        <v>1.7983651226158037E-2</v>
      </c>
    </row>
    <row r="74" spans="2:29" s="9" customFormat="1" ht="15.75" x14ac:dyDescent="0.25">
      <c r="B74" s="6" t="s">
        <v>78</v>
      </c>
      <c r="C74" s="77" t="s">
        <v>217</v>
      </c>
      <c r="D74" s="6" t="s">
        <v>195</v>
      </c>
      <c r="H74" s="84">
        <v>527</v>
      </c>
      <c r="M74" s="9">
        <f t="shared" si="16"/>
        <v>527</v>
      </c>
      <c r="N74" s="57">
        <f t="shared" si="17"/>
        <v>0.14418604651162792</v>
      </c>
      <c r="P74" s="138"/>
      <c r="Q74" s="165" t="s">
        <v>270</v>
      </c>
      <c r="R74" s="166" t="s">
        <v>217</v>
      </c>
      <c r="S74" s="169" t="s">
        <v>195</v>
      </c>
      <c r="T74" s="157">
        <v>27</v>
      </c>
      <c r="U74" s="157"/>
      <c r="V74" s="157"/>
      <c r="W74" s="170">
        <v>500</v>
      </c>
      <c r="X74" s="157"/>
      <c r="Y74" s="157"/>
      <c r="Z74" s="157"/>
      <c r="AA74" s="157"/>
      <c r="AB74" s="157">
        <f t="shared" si="18"/>
        <v>527</v>
      </c>
      <c r="AC74" s="168">
        <f t="shared" si="19"/>
        <v>0.14359673024523162</v>
      </c>
    </row>
    <row r="75" spans="2:29" s="9" customFormat="1" ht="15.75" x14ac:dyDescent="0.25">
      <c r="B75" s="6" t="s">
        <v>64</v>
      </c>
      <c r="C75" s="77" t="s">
        <v>218</v>
      </c>
      <c r="D75" s="6" t="s">
        <v>29</v>
      </c>
      <c r="E75" s="9">
        <v>174</v>
      </c>
      <c r="F75" s="9">
        <v>287</v>
      </c>
      <c r="G75" s="9">
        <v>11</v>
      </c>
      <c r="M75" s="9">
        <f t="shared" si="16"/>
        <v>472</v>
      </c>
      <c r="N75" s="57">
        <f t="shared" si="17"/>
        <v>0.12913816689466484</v>
      </c>
      <c r="P75" s="138"/>
      <c r="Q75" s="165" t="s">
        <v>64</v>
      </c>
      <c r="R75" s="166" t="s">
        <v>218</v>
      </c>
      <c r="S75" s="169" t="s">
        <v>29</v>
      </c>
      <c r="T75" s="157">
        <v>272</v>
      </c>
      <c r="U75" s="157">
        <v>208</v>
      </c>
      <c r="V75" s="157">
        <v>9</v>
      </c>
      <c r="W75" s="157"/>
      <c r="X75" s="157"/>
      <c r="Y75" s="157"/>
      <c r="Z75" s="157"/>
      <c r="AA75" s="157"/>
      <c r="AB75" s="157">
        <f t="shared" si="18"/>
        <v>489</v>
      </c>
      <c r="AC75" s="168">
        <f t="shared" si="19"/>
        <v>0.1332425068119891</v>
      </c>
    </row>
    <row r="76" spans="2:29" s="9" customFormat="1" ht="15.75" x14ac:dyDescent="0.25">
      <c r="B76" s="6" t="s">
        <v>65</v>
      </c>
      <c r="C76" s="77" t="s">
        <v>219</v>
      </c>
      <c r="D76" s="6" t="s">
        <v>30</v>
      </c>
      <c r="E76" s="9">
        <v>25</v>
      </c>
      <c r="M76" s="9">
        <f t="shared" si="16"/>
        <v>25</v>
      </c>
      <c r="N76" s="57">
        <f t="shared" si="17"/>
        <v>6.8399452804377564E-3</v>
      </c>
      <c r="P76" s="138"/>
      <c r="Q76" s="165" t="s">
        <v>65</v>
      </c>
      <c r="R76" s="166" t="s">
        <v>219</v>
      </c>
      <c r="S76" s="169" t="s">
        <v>30</v>
      </c>
      <c r="T76" s="157">
        <v>24</v>
      </c>
      <c r="U76" s="157"/>
      <c r="V76" s="157"/>
      <c r="W76" s="157"/>
      <c r="X76" s="157"/>
      <c r="Y76" s="157"/>
      <c r="Z76" s="157"/>
      <c r="AA76" s="157"/>
      <c r="AB76" s="157">
        <f t="shared" si="18"/>
        <v>24</v>
      </c>
      <c r="AC76" s="168">
        <f t="shared" si="19"/>
        <v>6.5395095367847414E-3</v>
      </c>
    </row>
    <row r="77" spans="2:29" s="9" customFormat="1" ht="15.75" x14ac:dyDescent="0.25">
      <c r="B77" s="6" t="s">
        <v>66</v>
      </c>
      <c r="C77" s="77" t="s">
        <v>220</v>
      </c>
      <c r="D77" s="6" t="s">
        <v>32</v>
      </c>
      <c r="G77" s="9">
        <v>4</v>
      </c>
      <c r="M77" s="9">
        <f t="shared" si="16"/>
        <v>4</v>
      </c>
      <c r="N77" s="57">
        <f t="shared" si="17"/>
        <v>1.094391244870041E-3</v>
      </c>
      <c r="P77" s="138"/>
      <c r="Q77" s="165" t="s">
        <v>66</v>
      </c>
      <c r="R77" s="166" t="s">
        <v>220</v>
      </c>
      <c r="S77" s="169" t="s">
        <v>32</v>
      </c>
      <c r="T77" s="157"/>
      <c r="U77" s="157"/>
      <c r="V77" s="157">
        <v>4</v>
      </c>
      <c r="W77" s="157"/>
      <c r="X77" s="157"/>
      <c r="Y77" s="157"/>
      <c r="Z77" s="157"/>
      <c r="AA77" s="157"/>
      <c r="AB77" s="157">
        <f t="shared" si="18"/>
        <v>4</v>
      </c>
      <c r="AC77" s="168">
        <f t="shared" si="19"/>
        <v>1.0899182561307902E-3</v>
      </c>
    </row>
    <row r="78" spans="2:29" s="9" customFormat="1" ht="15.75" x14ac:dyDescent="0.25">
      <c r="B78" s="20" t="s">
        <v>80</v>
      </c>
      <c r="C78" s="77" t="s">
        <v>221</v>
      </c>
      <c r="D78" s="20" t="s">
        <v>34</v>
      </c>
      <c r="F78" s="9">
        <v>1</v>
      </c>
      <c r="G78" s="9">
        <v>1</v>
      </c>
      <c r="K78" s="9">
        <v>65</v>
      </c>
      <c r="M78" s="9">
        <f t="shared" si="16"/>
        <v>67</v>
      </c>
      <c r="N78" s="57">
        <f t="shared" si="17"/>
        <v>1.8331053351573187E-2</v>
      </c>
      <c r="P78" s="138"/>
      <c r="Q78" s="165" t="s">
        <v>80</v>
      </c>
      <c r="R78" s="166" t="s">
        <v>221</v>
      </c>
      <c r="S78" s="169" t="s">
        <v>34</v>
      </c>
      <c r="T78" s="157"/>
      <c r="U78" s="157">
        <v>1</v>
      </c>
      <c r="V78" s="157">
        <v>1</v>
      </c>
      <c r="W78" s="157"/>
      <c r="X78" s="157"/>
      <c r="Y78" s="157"/>
      <c r="Z78" s="157">
        <v>65</v>
      </c>
      <c r="AA78" s="157"/>
      <c r="AB78" s="157">
        <f t="shared" si="18"/>
        <v>67</v>
      </c>
      <c r="AC78" s="168">
        <f t="shared" si="19"/>
        <v>1.8256130790190735E-2</v>
      </c>
    </row>
    <row r="79" spans="2:29" s="9" customFormat="1" ht="15.75" x14ac:dyDescent="0.25">
      <c r="B79" s="20" t="s">
        <v>81</v>
      </c>
      <c r="C79" s="77" t="s">
        <v>222</v>
      </c>
      <c r="D79" s="20" t="s">
        <v>35</v>
      </c>
      <c r="F79" s="9">
        <v>269</v>
      </c>
      <c r="M79" s="9">
        <f t="shared" si="16"/>
        <v>269</v>
      </c>
      <c r="N79" s="57">
        <f t="shared" si="17"/>
        <v>7.3597811217510259E-2</v>
      </c>
      <c r="P79" s="138"/>
      <c r="Q79" s="165" t="s">
        <v>81</v>
      </c>
      <c r="R79" s="166" t="s">
        <v>222</v>
      </c>
      <c r="S79" s="169" t="s">
        <v>35</v>
      </c>
      <c r="T79" s="157"/>
      <c r="U79" s="157">
        <v>259</v>
      </c>
      <c r="V79" s="157"/>
      <c r="W79" s="157"/>
      <c r="X79" s="157"/>
      <c r="Y79" s="157"/>
      <c r="Z79" s="157"/>
      <c r="AA79" s="157"/>
      <c r="AB79" s="157">
        <f t="shared" si="18"/>
        <v>259</v>
      </c>
      <c r="AC79" s="168">
        <f t="shared" si="19"/>
        <v>7.0572207084468666E-2</v>
      </c>
    </row>
    <row r="80" spans="2:29" s="9" customFormat="1" ht="15.75" x14ac:dyDescent="0.25">
      <c r="B80" s="20" t="s">
        <v>82</v>
      </c>
      <c r="C80" s="77" t="s">
        <v>223</v>
      </c>
      <c r="D80" s="20" t="s">
        <v>36</v>
      </c>
      <c r="E80" s="9">
        <v>186</v>
      </c>
      <c r="F80" s="9">
        <v>447</v>
      </c>
      <c r="G80" s="9">
        <v>15</v>
      </c>
      <c r="I80" s="9">
        <v>22</v>
      </c>
      <c r="M80" s="9">
        <f t="shared" si="16"/>
        <v>670</v>
      </c>
      <c r="N80" s="57">
        <f t="shared" si="17"/>
        <v>0.18331053351573187</v>
      </c>
      <c r="P80" s="138"/>
      <c r="Q80" s="165" t="s">
        <v>82</v>
      </c>
      <c r="R80" s="166" t="s">
        <v>223</v>
      </c>
      <c r="S80" s="169" t="s">
        <v>36</v>
      </c>
      <c r="T80" s="157">
        <v>222</v>
      </c>
      <c r="U80" s="157">
        <v>408</v>
      </c>
      <c r="V80" s="157">
        <v>19</v>
      </c>
      <c r="W80" s="157"/>
      <c r="X80" s="157">
        <v>22</v>
      </c>
      <c r="Y80" s="157"/>
      <c r="Z80" s="157"/>
      <c r="AA80" s="157"/>
      <c r="AB80" s="157">
        <f t="shared" si="18"/>
        <v>671</v>
      </c>
      <c r="AC80" s="168">
        <f t="shared" si="19"/>
        <v>0.18283378746594006</v>
      </c>
    </row>
    <row r="81" spans="2:29" s="9" customFormat="1" ht="15.75" x14ac:dyDescent="0.25">
      <c r="B81" s="6" t="s">
        <v>68</v>
      </c>
      <c r="C81" s="77" t="s">
        <v>224</v>
      </c>
      <c r="D81" s="6" t="s">
        <v>37</v>
      </c>
      <c r="E81" s="9">
        <v>11</v>
      </c>
      <c r="F81" s="9">
        <v>9</v>
      </c>
      <c r="G81" s="9">
        <v>2</v>
      </c>
      <c r="M81" s="9">
        <f t="shared" si="16"/>
        <v>22</v>
      </c>
      <c r="N81" s="57">
        <f t="shared" si="17"/>
        <v>6.0191518467852256E-3</v>
      </c>
      <c r="P81" s="138"/>
      <c r="Q81" s="165" t="s">
        <v>68</v>
      </c>
      <c r="R81" s="166" t="s">
        <v>224</v>
      </c>
      <c r="S81" s="169" t="s">
        <v>37</v>
      </c>
      <c r="T81" s="157">
        <v>7</v>
      </c>
      <c r="U81" s="157">
        <v>3</v>
      </c>
      <c r="V81" s="157"/>
      <c r="W81" s="157"/>
      <c r="X81" s="157"/>
      <c r="Y81" s="157"/>
      <c r="Z81" s="157"/>
      <c r="AA81" s="157"/>
      <c r="AB81" s="157">
        <f t="shared" si="18"/>
        <v>10</v>
      </c>
      <c r="AC81" s="168">
        <f t="shared" si="19"/>
        <v>2.7247956403269754E-3</v>
      </c>
    </row>
    <row r="82" spans="2:29" s="9" customFormat="1" ht="15.75" x14ac:dyDescent="0.25">
      <c r="B82" s="6" t="s">
        <v>70</v>
      </c>
      <c r="C82" s="77" t="s">
        <v>225</v>
      </c>
      <c r="D82" s="6" t="s">
        <v>39</v>
      </c>
      <c r="M82" s="9">
        <f t="shared" si="16"/>
        <v>0</v>
      </c>
      <c r="N82" s="57">
        <f t="shared" si="17"/>
        <v>0</v>
      </c>
      <c r="P82" s="138"/>
      <c r="Q82" s="165" t="s">
        <v>70</v>
      </c>
      <c r="R82" s="166" t="s">
        <v>225</v>
      </c>
      <c r="S82" s="169" t="s">
        <v>39</v>
      </c>
      <c r="T82" s="157"/>
      <c r="U82" s="157"/>
      <c r="V82" s="157"/>
      <c r="W82" s="157"/>
      <c r="X82" s="157"/>
      <c r="Y82" s="157"/>
      <c r="Z82" s="157"/>
      <c r="AA82" s="157"/>
      <c r="AB82" s="157">
        <f t="shared" si="18"/>
        <v>0</v>
      </c>
      <c r="AC82" s="168">
        <f t="shared" si="19"/>
        <v>0</v>
      </c>
    </row>
    <row r="83" spans="2:29" s="9" customFormat="1" ht="15.75" x14ac:dyDescent="0.25">
      <c r="B83" s="6" t="s">
        <v>83</v>
      </c>
      <c r="C83" s="77" t="s">
        <v>226</v>
      </c>
      <c r="D83" s="20" t="s">
        <v>40</v>
      </c>
      <c r="F83" s="9">
        <v>88</v>
      </c>
      <c r="G83" s="9">
        <v>6</v>
      </c>
      <c r="M83" s="9">
        <f t="shared" si="16"/>
        <v>94</v>
      </c>
      <c r="N83" s="57">
        <f t="shared" si="17"/>
        <v>2.5718194254445964E-2</v>
      </c>
      <c r="P83" s="138"/>
      <c r="Q83" s="165" t="s">
        <v>271</v>
      </c>
      <c r="R83" s="166" t="s">
        <v>226</v>
      </c>
      <c r="S83" s="169" t="s">
        <v>40</v>
      </c>
      <c r="T83" s="157"/>
      <c r="U83" s="157">
        <v>88</v>
      </c>
      <c r="V83" s="157">
        <v>6</v>
      </c>
      <c r="W83" s="157"/>
      <c r="X83" s="157"/>
      <c r="Y83" s="157"/>
      <c r="Z83" s="157"/>
      <c r="AA83" s="157"/>
      <c r="AB83" s="157">
        <f t="shared" si="18"/>
        <v>94</v>
      </c>
      <c r="AC83" s="168">
        <f t="shared" si="19"/>
        <v>2.561307901907357E-2</v>
      </c>
    </row>
    <row r="84" spans="2:29" s="9" customFormat="1" ht="15.75" x14ac:dyDescent="0.25">
      <c r="B84" s="6" t="s">
        <v>84</v>
      </c>
      <c r="C84" s="77" t="s">
        <v>227</v>
      </c>
      <c r="D84" s="6" t="s">
        <v>46</v>
      </c>
      <c r="E84" s="9">
        <v>27</v>
      </c>
      <c r="F84" s="9">
        <v>52</v>
      </c>
      <c r="M84" s="9">
        <f t="shared" si="16"/>
        <v>79</v>
      </c>
      <c r="N84" s="57">
        <f t="shared" si="17"/>
        <v>2.161422708618331E-2</v>
      </c>
      <c r="P84" s="138"/>
      <c r="Q84" s="165" t="s">
        <v>84</v>
      </c>
      <c r="R84" s="166" t="s">
        <v>227</v>
      </c>
      <c r="S84" s="169" t="s">
        <v>46</v>
      </c>
      <c r="T84" s="157">
        <v>59</v>
      </c>
      <c r="U84" s="157">
        <v>48</v>
      </c>
      <c r="V84" s="157"/>
      <c r="W84" s="157"/>
      <c r="X84" s="157"/>
      <c r="Y84" s="157"/>
      <c r="Z84" s="157"/>
      <c r="AA84" s="157"/>
      <c r="AB84" s="157">
        <f t="shared" si="18"/>
        <v>107</v>
      </c>
      <c r="AC84" s="168">
        <f t="shared" si="19"/>
        <v>2.9155313351498638E-2</v>
      </c>
    </row>
    <row r="85" spans="2:29" s="9" customFormat="1" ht="15.75" x14ac:dyDescent="0.25">
      <c r="B85" s="6" t="s">
        <v>72</v>
      </c>
      <c r="C85" s="77" t="s">
        <v>228</v>
      </c>
      <c r="D85" s="20" t="s">
        <v>42</v>
      </c>
      <c r="I85" s="9">
        <v>33</v>
      </c>
      <c r="M85" s="9">
        <f t="shared" si="16"/>
        <v>33</v>
      </c>
      <c r="N85" s="57">
        <f t="shared" si="17"/>
        <v>9.0287277701778385E-3</v>
      </c>
      <c r="P85" s="138"/>
      <c r="Q85" s="165" t="s">
        <v>72</v>
      </c>
      <c r="R85" s="166" t="s">
        <v>228</v>
      </c>
      <c r="S85" s="169" t="s">
        <v>42</v>
      </c>
      <c r="T85" s="157"/>
      <c r="U85" s="157"/>
      <c r="V85" s="157"/>
      <c r="W85" s="157"/>
      <c r="X85" s="157">
        <v>32</v>
      </c>
      <c r="Y85" s="157"/>
      <c r="Z85" s="157"/>
      <c r="AA85" s="157"/>
      <c r="AB85" s="157">
        <f t="shared" si="18"/>
        <v>32</v>
      </c>
      <c r="AC85" s="168">
        <f t="shared" si="19"/>
        <v>8.7193460490463219E-3</v>
      </c>
    </row>
    <row r="86" spans="2:29" s="9" customFormat="1" ht="15.75" x14ac:dyDescent="0.25">
      <c r="B86" s="6" t="s">
        <v>74</v>
      </c>
      <c r="C86" s="77" t="s">
        <v>229</v>
      </c>
      <c r="D86" s="6" t="s">
        <v>44</v>
      </c>
      <c r="E86" s="9">
        <v>16</v>
      </c>
      <c r="F86" s="9">
        <v>84</v>
      </c>
      <c r="L86" s="9">
        <v>46</v>
      </c>
      <c r="M86" s="9">
        <f t="shared" si="16"/>
        <v>146</v>
      </c>
      <c r="N86" s="57">
        <f t="shared" si="17"/>
        <v>3.9945280437756497E-2</v>
      </c>
      <c r="P86" s="138"/>
      <c r="Q86" s="165" t="s">
        <v>74</v>
      </c>
      <c r="R86" s="166" t="s">
        <v>229</v>
      </c>
      <c r="S86" s="169" t="s">
        <v>44</v>
      </c>
      <c r="T86" s="157">
        <v>91</v>
      </c>
      <c r="U86" s="157">
        <v>100</v>
      </c>
      <c r="V86" s="157"/>
      <c r="W86" s="157"/>
      <c r="X86" s="157"/>
      <c r="Y86" s="157"/>
      <c r="Z86" s="157"/>
      <c r="AA86" s="157">
        <v>45</v>
      </c>
      <c r="AB86" s="157">
        <f t="shared" si="18"/>
        <v>236</v>
      </c>
      <c r="AC86" s="168">
        <f t="shared" si="19"/>
        <v>6.4305177111716627E-2</v>
      </c>
    </row>
    <row r="87" spans="2:29" s="9" customFormat="1" ht="15.75" x14ac:dyDescent="0.25">
      <c r="B87" s="6" t="s">
        <v>75</v>
      </c>
      <c r="C87" s="77" t="s">
        <v>230</v>
      </c>
      <c r="D87" s="6" t="s">
        <v>45</v>
      </c>
      <c r="F87" s="9">
        <v>17</v>
      </c>
      <c r="I87" s="9">
        <v>15</v>
      </c>
      <c r="M87" s="9">
        <f t="shared" si="16"/>
        <v>32</v>
      </c>
      <c r="N87" s="57">
        <f t="shared" si="17"/>
        <v>8.7551299589603282E-3</v>
      </c>
      <c r="P87" s="138"/>
      <c r="Q87" s="165" t="s">
        <v>75</v>
      </c>
      <c r="R87" s="166" t="s">
        <v>230</v>
      </c>
      <c r="S87" s="169" t="s">
        <v>45</v>
      </c>
      <c r="T87" s="157">
        <v>10</v>
      </c>
      <c r="U87" s="157">
        <v>7</v>
      </c>
      <c r="V87" s="157"/>
      <c r="W87" s="157"/>
      <c r="X87" s="157">
        <v>52</v>
      </c>
      <c r="Y87" s="157"/>
      <c r="Z87" s="157"/>
      <c r="AA87" s="157"/>
      <c r="AB87" s="157">
        <f t="shared" si="18"/>
        <v>69</v>
      </c>
      <c r="AC87" s="168">
        <f t="shared" si="19"/>
        <v>1.8801089918256131E-2</v>
      </c>
    </row>
    <row r="88" spans="2:29" s="9" customFormat="1" ht="15.75" x14ac:dyDescent="0.25">
      <c r="B88" s="6" t="s">
        <v>85</v>
      </c>
      <c r="C88" s="77" t="s">
        <v>231</v>
      </c>
      <c r="E88" s="9">
        <v>24</v>
      </c>
      <c r="F88" s="9">
        <v>18</v>
      </c>
      <c r="K88" s="9">
        <v>2</v>
      </c>
      <c r="M88" s="9">
        <f t="shared" si="16"/>
        <v>44</v>
      </c>
      <c r="N88" s="57">
        <f t="shared" si="17"/>
        <v>1.2038303693570451E-2</v>
      </c>
      <c r="P88" s="138"/>
      <c r="Q88" s="165" t="s">
        <v>85</v>
      </c>
      <c r="R88" s="166" t="s">
        <v>231</v>
      </c>
      <c r="S88" s="157"/>
      <c r="T88" s="157">
        <v>23</v>
      </c>
      <c r="U88" s="157">
        <v>15</v>
      </c>
      <c r="V88" s="157"/>
      <c r="W88" s="157"/>
      <c r="X88" s="157">
        <v>8</v>
      </c>
      <c r="Y88" s="157">
        <v>12</v>
      </c>
      <c r="Z88" s="157"/>
      <c r="AA88" s="157"/>
      <c r="AB88" s="157">
        <f t="shared" si="18"/>
        <v>58</v>
      </c>
      <c r="AC88" s="168">
        <f t="shared" si="19"/>
        <v>1.5803814713896459E-2</v>
      </c>
    </row>
    <row r="89" spans="2:29" s="9" customFormat="1" ht="16.5" thickBot="1" x14ac:dyDescent="0.3">
      <c r="B89" s="8" t="s">
        <v>119</v>
      </c>
      <c r="C89" s="77"/>
      <c r="E89" s="21">
        <f t="shared" ref="E89:N89" si="20">SUM(E52:E88)</f>
        <v>715</v>
      </c>
      <c r="F89" s="21">
        <f t="shared" si="20"/>
        <v>1882</v>
      </c>
      <c r="G89" s="21">
        <f t="shared" si="20"/>
        <v>82</v>
      </c>
      <c r="H89" s="21">
        <f t="shared" si="20"/>
        <v>527</v>
      </c>
      <c r="I89" s="21">
        <f t="shared" si="20"/>
        <v>150</v>
      </c>
      <c r="J89" s="21">
        <f t="shared" si="20"/>
        <v>19</v>
      </c>
      <c r="K89" s="21">
        <f t="shared" si="20"/>
        <v>234</v>
      </c>
      <c r="L89" s="21">
        <f t="shared" si="20"/>
        <v>46</v>
      </c>
      <c r="M89" s="21">
        <f t="shared" si="20"/>
        <v>3655</v>
      </c>
      <c r="N89" s="58">
        <f t="shared" si="20"/>
        <v>1</v>
      </c>
      <c r="P89" s="138"/>
      <c r="Q89" s="171" t="s">
        <v>119</v>
      </c>
      <c r="R89" s="166"/>
      <c r="S89" s="157"/>
      <c r="T89" s="148">
        <f t="shared" ref="T89:AC89" si="21">SUM(T52:T88)</f>
        <v>1093</v>
      </c>
      <c r="U89" s="148">
        <f t="shared" si="21"/>
        <v>1505</v>
      </c>
      <c r="V89" s="148">
        <f t="shared" si="21"/>
        <v>73</v>
      </c>
      <c r="W89" s="148">
        <f t="shared" si="21"/>
        <v>500</v>
      </c>
      <c r="X89" s="148">
        <f t="shared" si="21"/>
        <v>190</v>
      </c>
      <c r="Y89" s="148">
        <f t="shared" si="21"/>
        <v>31</v>
      </c>
      <c r="Z89" s="148">
        <f t="shared" si="21"/>
        <v>233</v>
      </c>
      <c r="AA89" s="148">
        <f t="shared" si="21"/>
        <v>45</v>
      </c>
      <c r="AB89" s="148">
        <f t="shared" si="21"/>
        <v>3670</v>
      </c>
      <c r="AC89" s="172">
        <f t="shared" si="21"/>
        <v>1</v>
      </c>
    </row>
    <row r="90" spans="2:29" s="9" customFormat="1" ht="16.5" thickTop="1" x14ac:dyDescent="0.25">
      <c r="B90" s="6"/>
      <c r="C90" s="77"/>
      <c r="F90" s="11"/>
      <c r="G90" s="11" t="s">
        <v>118</v>
      </c>
      <c r="H90" s="9">
        <f>+H89+F89</f>
        <v>2409</v>
      </c>
      <c r="L90" s="63" t="s">
        <v>180</v>
      </c>
      <c r="M90" s="34">
        <v>35</v>
      </c>
      <c r="N90" s="10">
        <f>COUNT(E52:L87)</f>
        <v>63</v>
      </c>
      <c r="P90" s="138"/>
      <c r="Q90" s="165"/>
      <c r="R90" s="166"/>
      <c r="S90" s="157"/>
      <c r="T90" s="157"/>
      <c r="U90" s="158"/>
      <c r="V90" s="158" t="s">
        <v>118</v>
      </c>
      <c r="W90" s="157">
        <v>2005</v>
      </c>
      <c r="X90" s="157"/>
      <c r="Y90" s="157"/>
      <c r="Z90" s="157"/>
      <c r="AA90" s="173" t="s">
        <v>180</v>
      </c>
      <c r="AB90" s="174">
        <v>35</v>
      </c>
      <c r="AC90" s="159">
        <v>65</v>
      </c>
    </row>
    <row r="91" spans="2:29" s="9" customFormat="1" ht="16.5" thickBot="1" x14ac:dyDescent="0.3">
      <c r="B91" s="6"/>
      <c r="C91" s="77"/>
      <c r="D91" s="55" t="s">
        <v>177</v>
      </c>
      <c r="E91" s="56">
        <f t="shared" ref="E91:M91" si="22">+E89/$M89</f>
        <v>0.19562243502051985</v>
      </c>
      <c r="F91" s="56">
        <f t="shared" si="22"/>
        <v>0.51491108071135427</v>
      </c>
      <c r="G91" s="56">
        <f t="shared" si="22"/>
        <v>2.2435020519835841E-2</v>
      </c>
      <c r="H91" s="56">
        <f t="shared" si="22"/>
        <v>0.14418604651162792</v>
      </c>
      <c r="I91" s="56">
        <f t="shared" si="22"/>
        <v>4.1039671682626538E-2</v>
      </c>
      <c r="J91" s="56">
        <f t="shared" si="22"/>
        <v>5.1983584131326949E-3</v>
      </c>
      <c r="K91" s="56">
        <f t="shared" si="22"/>
        <v>6.40218878248974E-2</v>
      </c>
      <c r="L91" s="56">
        <f t="shared" si="22"/>
        <v>1.2585499316005472E-2</v>
      </c>
      <c r="M91" s="56">
        <f t="shared" si="22"/>
        <v>1</v>
      </c>
      <c r="N91" s="10"/>
      <c r="P91" s="138"/>
      <c r="Q91" s="175"/>
      <c r="R91" s="176"/>
      <c r="S91" s="177" t="s">
        <v>177</v>
      </c>
      <c r="T91" s="178">
        <v>0.29782016348773843</v>
      </c>
      <c r="U91" s="178">
        <v>0.41008174386920981</v>
      </c>
      <c r="V91" s="178">
        <v>1.989100817438692E-2</v>
      </c>
      <c r="W91" s="178">
        <v>0.13623978201634879</v>
      </c>
      <c r="X91" s="178">
        <v>5.1771117166212535E-2</v>
      </c>
      <c r="Y91" s="178">
        <v>8.4468664850136238E-3</v>
      </c>
      <c r="Z91" s="178">
        <v>6.3487738419618522E-2</v>
      </c>
      <c r="AA91" s="178">
        <v>1.226158038147139E-2</v>
      </c>
      <c r="AB91" s="178">
        <v>1</v>
      </c>
      <c r="AC91" s="179"/>
    </row>
    <row r="92" spans="2:29" s="9" customFormat="1" ht="15.75" x14ac:dyDescent="0.25">
      <c r="B92" s="5" t="s">
        <v>125</v>
      </c>
      <c r="C92" s="5"/>
      <c r="D92" s="6"/>
      <c r="F92" s="11"/>
      <c r="N92" s="10"/>
      <c r="P92" s="138"/>
    </row>
    <row r="93" spans="2:29" s="9" customFormat="1" ht="15.75" x14ac:dyDescent="0.25">
      <c r="B93" s="19" t="s">
        <v>47</v>
      </c>
      <c r="C93" s="19"/>
      <c r="D93" s="19" t="s">
        <v>187</v>
      </c>
      <c r="F93" s="11"/>
      <c r="N93" s="10"/>
      <c r="P93" s="138"/>
    </row>
    <row r="94" spans="2:29" s="9" customFormat="1" ht="15.75" x14ac:dyDescent="0.25">
      <c r="B94" s="18" t="s">
        <v>76</v>
      </c>
      <c r="C94" s="6"/>
      <c r="D94" s="82" t="s">
        <v>188</v>
      </c>
      <c r="E94" s="7" t="s">
        <v>24</v>
      </c>
      <c r="F94" s="7" t="s">
        <v>137</v>
      </c>
      <c r="G94" s="7" t="s">
        <v>138</v>
      </c>
      <c r="H94" s="7" t="s">
        <v>137</v>
      </c>
      <c r="I94" s="7" t="s">
        <v>139</v>
      </c>
      <c r="J94" s="7" t="s">
        <v>143</v>
      </c>
      <c r="K94" s="7" t="s">
        <v>144</v>
      </c>
      <c r="L94" s="7" t="s">
        <v>145</v>
      </c>
      <c r="M94" s="7" t="s">
        <v>116</v>
      </c>
      <c r="N94" s="7" t="s">
        <v>177</v>
      </c>
      <c r="P94" s="138"/>
    </row>
    <row r="95" spans="2:29" s="9" customFormat="1" ht="15.75" x14ac:dyDescent="0.25">
      <c r="B95" s="6" t="s">
        <v>62</v>
      </c>
      <c r="C95" s="77" t="s">
        <v>197</v>
      </c>
      <c r="D95" s="82" t="s">
        <v>27</v>
      </c>
      <c r="E95" s="81">
        <v>1</v>
      </c>
      <c r="I95" s="9">
        <v>1</v>
      </c>
      <c r="M95" s="9">
        <f t="shared" ref="M95:M131" si="23">SUM(E95:L95)</f>
        <v>2</v>
      </c>
      <c r="N95" s="57">
        <f t="shared" ref="N95:N131" si="24">+M95/M$132</f>
        <v>3.3057851239669421E-3</v>
      </c>
      <c r="P95" s="138"/>
    </row>
    <row r="96" spans="2:29" s="9" customFormat="1" ht="15.75" x14ac:dyDescent="0.25">
      <c r="B96" s="6" t="s">
        <v>63</v>
      </c>
      <c r="C96" s="77" t="s">
        <v>198</v>
      </c>
      <c r="D96" s="82" t="s">
        <v>28</v>
      </c>
      <c r="E96" s="81"/>
      <c r="J96" s="81"/>
      <c r="M96" s="9">
        <f t="shared" si="23"/>
        <v>0</v>
      </c>
      <c r="N96" s="57">
        <f t="shared" si="24"/>
        <v>0</v>
      </c>
      <c r="P96" s="138"/>
    </row>
    <row r="97" spans="2:16" s="9" customFormat="1" ht="15.75" x14ac:dyDescent="0.25">
      <c r="B97" s="6" t="s">
        <v>53</v>
      </c>
      <c r="C97" s="77" t="s">
        <v>213</v>
      </c>
      <c r="D97" s="82" t="s">
        <v>18</v>
      </c>
      <c r="E97" s="81">
        <v>2</v>
      </c>
      <c r="M97" s="9">
        <f t="shared" si="23"/>
        <v>2</v>
      </c>
      <c r="N97" s="57">
        <f t="shared" si="24"/>
        <v>3.3057851239669421E-3</v>
      </c>
      <c r="P97" s="138"/>
    </row>
    <row r="98" spans="2:16" s="9" customFormat="1" ht="15.75" x14ac:dyDescent="0.25">
      <c r="B98" s="6" t="s">
        <v>55</v>
      </c>
      <c r="C98" s="77" t="s">
        <v>199</v>
      </c>
      <c r="D98" s="82" t="s">
        <v>20</v>
      </c>
      <c r="E98" s="81">
        <v>7</v>
      </c>
      <c r="J98" s="81"/>
      <c r="M98" s="9">
        <f t="shared" si="23"/>
        <v>7</v>
      </c>
      <c r="N98" s="57">
        <f t="shared" si="24"/>
        <v>1.1570247933884297E-2</v>
      </c>
      <c r="P98" s="138"/>
    </row>
    <row r="99" spans="2:16" s="9" customFormat="1" ht="15.75" x14ac:dyDescent="0.25">
      <c r="B99" s="6" t="s">
        <v>56</v>
      </c>
      <c r="C99" s="77" t="s">
        <v>200</v>
      </c>
      <c r="D99" s="82" t="s">
        <v>21</v>
      </c>
      <c r="E99" s="81">
        <v>8</v>
      </c>
      <c r="M99" s="9">
        <f t="shared" si="23"/>
        <v>8</v>
      </c>
      <c r="N99" s="57">
        <f t="shared" si="24"/>
        <v>1.3223140495867768E-2</v>
      </c>
      <c r="P99" s="138"/>
    </row>
    <row r="100" spans="2:16" s="9" customFormat="1" ht="15.75" x14ac:dyDescent="0.25">
      <c r="B100" s="6" t="s">
        <v>57</v>
      </c>
      <c r="C100" s="77" t="s">
        <v>201</v>
      </c>
      <c r="D100" s="82" t="s">
        <v>22</v>
      </c>
      <c r="E100" s="81">
        <v>28</v>
      </c>
      <c r="F100" s="9">
        <v>1</v>
      </c>
      <c r="M100" s="9">
        <f t="shared" si="23"/>
        <v>29</v>
      </c>
      <c r="N100" s="57">
        <f t="shared" si="24"/>
        <v>4.7933884297520664E-2</v>
      </c>
      <c r="P100" s="138"/>
    </row>
    <row r="101" spans="2:16" s="9" customFormat="1" ht="15.75" x14ac:dyDescent="0.25">
      <c r="B101" s="6" t="s">
        <v>79</v>
      </c>
      <c r="C101" s="77" t="s">
        <v>202</v>
      </c>
      <c r="D101" s="82" t="s">
        <v>31</v>
      </c>
      <c r="E101" s="81">
        <v>3</v>
      </c>
      <c r="M101" s="9">
        <f t="shared" si="23"/>
        <v>3</v>
      </c>
      <c r="N101" s="57">
        <f t="shared" si="24"/>
        <v>4.9586776859504135E-3</v>
      </c>
      <c r="P101" s="138"/>
    </row>
    <row r="102" spans="2:16" s="9" customFormat="1" ht="15.75" x14ac:dyDescent="0.25">
      <c r="B102" s="6" t="s">
        <v>67</v>
      </c>
      <c r="C102" s="77" t="s">
        <v>203</v>
      </c>
      <c r="D102" s="82" t="s">
        <v>33</v>
      </c>
      <c r="E102" s="81">
        <v>13</v>
      </c>
      <c r="M102" s="9">
        <f t="shared" si="23"/>
        <v>13</v>
      </c>
      <c r="N102" s="57">
        <f t="shared" si="24"/>
        <v>2.1487603305785124E-2</v>
      </c>
      <c r="P102" s="138"/>
    </row>
    <row r="103" spans="2:16" s="9" customFormat="1" ht="15.75" x14ac:dyDescent="0.25">
      <c r="B103" s="6" t="s">
        <v>69</v>
      </c>
      <c r="C103" s="77" t="s">
        <v>204</v>
      </c>
      <c r="D103" s="82" t="s">
        <v>38</v>
      </c>
      <c r="E103" s="81">
        <f>3-2</f>
        <v>1</v>
      </c>
      <c r="M103" s="9">
        <f t="shared" si="23"/>
        <v>1</v>
      </c>
      <c r="N103" s="57">
        <f t="shared" si="24"/>
        <v>1.652892561983471E-3</v>
      </c>
      <c r="P103" s="138"/>
    </row>
    <row r="104" spans="2:16" s="9" customFormat="1" ht="15.75" x14ac:dyDescent="0.25">
      <c r="B104" s="6" t="s">
        <v>71</v>
      </c>
      <c r="C104" s="77" t="s">
        <v>205</v>
      </c>
      <c r="D104" s="82" t="s">
        <v>41</v>
      </c>
      <c r="E104" s="81">
        <f>16-1</f>
        <v>15</v>
      </c>
      <c r="M104" s="9">
        <f t="shared" si="23"/>
        <v>15</v>
      </c>
      <c r="N104" s="57">
        <f t="shared" si="24"/>
        <v>2.4793388429752067E-2</v>
      </c>
      <c r="P104" s="138"/>
    </row>
    <row r="105" spans="2:16" s="9" customFormat="1" ht="15.75" x14ac:dyDescent="0.25">
      <c r="B105" s="6" t="s">
        <v>73</v>
      </c>
      <c r="C105" s="77" t="s">
        <v>206</v>
      </c>
      <c r="D105" s="82" t="s">
        <v>43</v>
      </c>
      <c r="E105" s="81">
        <f>7-1</f>
        <v>6</v>
      </c>
      <c r="M105" s="9">
        <f t="shared" si="23"/>
        <v>6</v>
      </c>
      <c r="N105" s="57">
        <f t="shared" si="24"/>
        <v>9.9173553719008271E-3</v>
      </c>
      <c r="P105" s="138"/>
    </row>
    <row r="106" spans="2:16" s="9" customFormat="1" ht="15.75" x14ac:dyDescent="0.25">
      <c r="B106" s="6" t="s">
        <v>61</v>
      </c>
      <c r="C106" s="77" t="s">
        <v>196</v>
      </c>
      <c r="D106" s="6" t="s">
        <v>26</v>
      </c>
      <c r="F106" s="9">
        <v>1</v>
      </c>
      <c r="I106" s="9">
        <v>1</v>
      </c>
      <c r="M106" s="9">
        <f t="shared" si="23"/>
        <v>2</v>
      </c>
      <c r="N106" s="57">
        <f t="shared" si="24"/>
        <v>3.3057851239669421E-3</v>
      </c>
      <c r="P106" s="138"/>
    </row>
    <row r="107" spans="2:16" s="9" customFormat="1" ht="15.75" x14ac:dyDescent="0.25">
      <c r="B107" s="6" t="s">
        <v>48</v>
      </c>
      <c r="C107" s="77" t="s">
        <v>207</v>
      </c>
      <c r="D107" s="6" t="s">
        <v>12</v>
      </c>
      <c r="E107" s="9">
        <v>14</v>
      </c>
      <c r="M107" s="9">
        <f t="shared" si="23"/>
        <v>14</v>
      </c>
      <c r="N107" s="57">
        <f t="shared" si="24"/>
        <v>2.3140495867768594E-2</v>
      </c>
      <c r="P107" s="138"/>
    </row>
    <row r="108" spans="2:16" s="9" customFormat="1" ht="15.75" x14ac:dyDescent="0.25">
      <c r="B108" s="6" t="s">
        <v>77</v>
      </c>
      <c r="C108" s="77" t="s">
        <v>208</v>
      </c>
      <c r="D108" s="20" t="s">
        <v>13</v>
      </c>
      <c r="F108" s="9">
        <v>21</v>
      </c>
      <c r="M108" s="9">
        <f t="shared" si="23"/>
        <v>21</v>
      </c>
      <c r="N108" s="57">
        <f t="shared" si="24"/>
        <v>3.4710743801652892E-2</v>
      </c>
      <c r="P108" s="138"/>
    </row>
    <row r="109" spans="2:16" s="9" customFormat="1" ht="15.75" x14ac:dyDescent="0.25">
      <c r="B109" s="6" t="s">
        <v>49</v>
      </c>
      <c r="C109" s="77" t="s">
        <v>209</v>
      </c>
      <c r="D109" s="6" t="s">
        <v>14</v>
      </c>
      <c r="M109" s="9">
        <f t="shared" si="23"/>
        <v>0</v>
      </c>
      <c r="N109" s="57">
        <f t="shared" si="24"/>
        <v>0</v>
      </c>
      <c r="P109" s="138"/>
    </row>
    <row r="110" spans="2:16" s="9" customFormat="1" ht="15.75" x14ac:dyDescent="0.25">
      <c r="B110" s="6" t="s">
        <v>50</v>
      </c>
      <c r="C110" s="77" t="s">
        <v>210</v>
      </c>
      <c r="D110" s="6" t="s">
        <v>15</v>
      </c>
      <c r="E110" s="9">
        <v>13</v>
      </c>
      <c r="F110" s="9">
        <f>18-1</f>
        <v>17</v>
      </c>
      <c r="G110" s="9">
        <v>2</v>
      </c>
      <c r="M110" s="9">
        <f t="shared" si="23"/>
        <v>32</v>
      </c>
      <c r="N110" s="57">
        <f t="shared" si="24"/>
        <v>5.2892561983471073E-2</v>
      </c>
      <c r="P110" s="138"/>
    </row>
    <row r="111" spans="2:16" s="9" customFormat="1" ht="15.75" x14ac:dyDescent="0.25">
      <c r="B111" s="6" t="s">
        <v>51</v>
      </c>
      <c r="C111" s="77" t="s">
        <v>211</v>
      </c>
      <c r="D111" s="6" t="s">
        <v>16</v>
      </c>
      <c r="F111" s="9">
        <v>3</v>
      </c>
      <c r="G111" s="9">
        <v>5</v>
      </c>
      <c r="M111" s="9">
        <f t="shared" si="23"/>
        <v>8</v>
      </c>
      <c r="N111" s="57">
        <f t="shared" si="24"/>
        <v>1.3223140495867768E-2</v>
      </c>
      <c r="P111" s="138"/>
    </row>
    <row r="112" spans="2:16" s="9" customFormat="1" ht="15.75" x14ac:dyDescent="0.25">
      <c r="B112" s="6" t="s">
        <v>52</v>
      </c>
      <c r="C112" s="77" t="s">
        <v>212</v>
      </c>
      <c r="D112" s="6" t="s">
        <v>17</v>
      </c>
      <c r="G112" s="9">
        <v>1</v>
      </c>
      <c r="M112" s="9">
        <f t="shared" si="23"/>
        <v>1</v>
      </c>
      <c r="N112" s="57">
        <f t="shared" si="24"/>
        <v>1.652892561983471E-3</v>
      </c>
      <c r="P112" s="138"/>
    </row>
    <row r="113" spans="2:16" s="9" customFormat="1" ht="15.75" x14ac:dyDescent="0.25">
      <c r="B113" s="6" t="s">
        <v>54</v>
      </c>
      <c r="C113" s="77" t="s">
        <v>214</v>
      </c>
      <c r="D113" s="6" t="s">
        <v>19</v>
      </c>
      <c r="F113" s="9">
        <v>2</v>
      </c>
      <c r="M113" s="9">
        <f t="shared" si="23"/>
        <v>2</v>
      </c>
      <c r="N113" s="57">
        <f t="shared" si="24"/>
        <v>3.3057851239669421E-3</v>
      </c>
      <c r="P113" s="138"/>
    </row>
    <row r="114" spans="2:16" s="9" customFormat="1" ht="15.75" x14ac:dyDescent="0.25">
      <c r="B114" s="6" t="s">
        <v>58</v>
      </c>
      <c r="C114" s="77" t="s">
        <v>232</v>
      </c>
      <c r="D114" s="6" t="s">
        <v>23</v>
      </c>
      <c r="E114" s="9">
        <v>1</v>
      </c>
      <c r="M114" s="9">
        <f t="shared" si="23"/>
        <v>1</v>
      </c>
      <c r="N114" s="57">
        <f t="shared" si="24"/>
        <v>1.652892561983471E-3</v>
      </c>
      <c r="P114" s="138"/>
    </row>
    <row r="115" spans="2:16" s="9" customFormat="1" ht="15.75" x14ac:dyDescent="0.25">
      <c r="B115" s="6" t="s">
        <v>59</v>
      </c>
      <c r="C115" s="77" t="s">
        <v>215</v>
      </c>
      <c r="D115" s="6" t="s">
        <v>24</v>
      </c>
      <c r="F115" s="9">
        <v>48</v>
      </c>
      <c r="G115" s="9">
        <v>1</v>
      </c>
      <c r="M115" s="9">
        <f t="shared" si="23"/>
        <v>49</v>
      </c>
      <c r="N115" s="57">
        <f t="shared" si="24"/>
        <v>8.0991735537190079E-2</v>
      </c>
      <c r="P115" s="138"/>
    </row>
    <row r="116" spans="2:16" s="9" customFormat="1" ht="15.75" x14ac:dyDescent="0.25">
      <c r="B116" s="6" t="s">
        <v>60</v>
      </c>
      <c r="C116" s="77" t="s">
        <v>216</v>
      </c>
      <c r="D116" s="6" t="s">
        <v>25</v>
      </c>
      <c r="E116" s="9">
        <v>1</v>
      </c>
      <c r="I116" s="9">
        <v>11</v>
      </c>
      <c r="M116" s="9">
        <f t="shared" si="23"/>
        <v>12</v>
      </c>
      <c r="N116" s="57">
        <f t="shared" si="24"/>
        <v>1.9834710743801654E-2</v>
      </c>
      <c r="P116" s="138"/>
    </row>
    <row r="117" spans="2:16" s="9" customFormat="1" ht="15.75" x14ac:dyDescent="0.25">
      <c r="B117" s="6" t="s">
        <v>78</v>
      </c>
      <c r="C117" s="77" t="s">
        <v>217</v>
      </c>
      <c r="D117" s="6" t="s">
        <v>195</v>
      </c>
      <c r="H117" s="84">
        <f>98-2</f>
        <v>96</v>
      </c>
      <c r="M117" s="9">
        <f t="shared" si="23"/>
        <v>96</v>
      </c>
      <c r="N117" s="57">
        <f t="shared" si="24"/>
        <v>0.15867768595041323</v>
      </c>
      <c r="P117" s="138"/>
    </row>
    <row r="118" spans="2:16" s="9" customFormat="1" ht="15.75" x14ac:dyDescent="0.25">
      <c r="B118" s="6" t="s">
        <v>64</v>
      </c>
      <c r="C118" s="77" t="s">
        <v>218</v>
      </c>
      <c r="D118" s="6" t="s">
        <v>29</v>
      </c>
      <c r="E118" s="9">
        <v>28</v>
      </c>
      <c r="F118" s="9">
        <v>27</v>
      </c>
      <c r="G118" s="9">
        <v>1</v>
      </c>
      <c r="M118" s="9">
        <f t="shared" si="23"/>
        <v>56</v>
      </c>
      <c r="N118" s="57">
        <f t="shared" si="24"/>
        <v>9.2561983471074374E-2</v>
      </c>
      <c r="P118" s="138"/>
    </row>
    <row r="119" spans="2:16" s="9" customFormat="1" ht="15.75" x14ac:dyDescent="0.25">
      <c r="B119" s="6" t="s">
        <v>65</v>
      </c>
      <c r="C119" s="77" t="s">
        <v>219</v>
      </c>
      <c r="D119" s="6" t="s">
        <v>30</v>
      </c>
      <c r="M119" s="9">
        <f t="shared" si="23"/>
        <v>0</v>
      </c>
      <c r="N119" s="57">
        <f t="shared" si="24"/>
        <v>0</v>
      </c>
      <c r="P119" s="138"/>
    </row>
    <row r="120" spans="2:16" s="9" customFormat="1" ht="15.75" x14ac:dyDescent="0.25">
      <c r="B120" s="6" t="s">
        <v>66</v>
      </c>
      <c r="C120" s="77" t="s">
        <v>220</v>
      </c>
      <c r="D120" s="6" t="s">
        <v>32</v>
      </c>
      <c r="M120" s="9">
        <f t="shared" si="23"/>
        <v>0</v>
      </c>
      <c r="N120" s="57">
        <f t="shared" si="24"/>
        <v>0</v>
      </c>
      <c r="P120" s="138"/>
    </row>
    <row r="121" spans="2:16" s="9" customFormat="1" ht="15.75" x14ac:dyDescent="0.25">
      <c r="B121" s="20" t="s">
        <v>80</v>
      </c>
      <c r="C121" s="77" t="s">
        <v>221</v>
      </c>
      <c r="D121" s="20" t="s">
        <v>34</v>
      </c>
      <c r="F121" s="9">
        <v>1</v>
      </c>
      <c r="G121" s="9">
        <v>1</v>
      </c>
      <c r="M121" s="9">
        <f t="shared" si="23"/>
        <v>2</v>
      </c>
      <c r="N121" s="57">
        <f t="shared" si="24"/>
        <v>3.3057851239669421E-3</v>
      </c>
      <c r="P121" s="138"/>
    </row>
    <row r="122" spans="2:16" s="9" customFormat="1" ht="15.75" x14ac:dyDescent="0.25">
      <c r="B122" s="20" t="s">
        <v>81</v>
      </c>
      <c r="C122" s="77" t="s">
        <v>222</v>
      </c>
      <c r="D122" s="20" t="s">
        <v>35</v>
      </c>
      <c r="F122" s="9">
        <v>23</v>
      </c>
      <c r="M122" s="9">
        <f t="shared" si="23"/>
        <v>23</v>
      </c>
      <c r="N122" s="57">
        <f t="shared" si="24"/>
        <v>3.8016528925619832E-2</v>
      </c>
      <c r="P122" s="138"/>
    </row>
    <row r="123" spans="2:16" s="9" customFormat="1" ht="15.75" x14ac:dyDescent="0.25">
      <c r="B123" s="20" t="s">
        <v>82</v>
      </c>
      <c r="C123" s="77" t="s">
        <v>223</v>
      </c>
      <c r="D123" s="20" t="s">
        <v>36</v>
      </c>
      <c r="E123" s="9">
        <v>28</v>
      </c>
      <c r="F123" s="9">
        <f>62-1</f>
        <v>61</v>
      </c>
      <c r="G123" s="9">
        <v>4</v>
      </c>
      <c r="I123" s="9">
        <f>9-1</f>
        <v>8</v>
      </c>
      <c r="M123" s="9">
        <f t="shared" si="23"/>
        <v>101</v>
      </c>
      <c r="N123" s="57">
        <f t="shared" si="24"/>
        <v>0.16694214876033059</v>
      </c>
      <c r="P123" s="138"/>
    </row>
    <row r="124" spans="2:16" s="9" customFormat="1" ht="15.75" x14ac:dyDescent="0.25">
      <c r="B124" s="6" t="s">
        <v>68</v>
      </c>
      <c r="C124" s="77" t="s">
        <v>224</v>
      </c>
      <c r="D124" s="6" t="s">
        <v>37</v>
      </c>
      <c r="E124" s="9">
        <v>1</v>
      </c>
      <c r="F124" s="9">
        <v>3</v>
      </c>
      <c r="M124" s="9">
        <f t="shared" si="23"/>
        <v>4</v>
      </c>
      <c r="N124" s="57">
        <f t="shared" si="24"/>
        <v>6.6115702479338841E-3</v>
      </c>
      <c r="P124" s="138"/>
    </row>
    <row r="125" spans="2:16" s="9" customFormat="1" ht="15.75" x14ac:dyDescent="0.25">
      <c r="B125" s="6" t="s">
        <v>70</v>
      </c>
      <c r="C125" s="77" t="s">
        <v>225</v>
      </c>
      <c r="D125" s="6" t="s">
        <v>39</v>
      </c>
      <c r="M125" s="9">
        <f t="shared" si="23"/>
        <v>0</v>
      </c>
      <c r="N125" s="57">
        <f t="shared" si="24"/>
        <v>0</v>
      </c>
      <c r="P125" s="138"/>
    </row>
    <row r="126" spans="2:16" s="9" customFormat="1" ht="15.75" x14ac:dyDescent="0.25">
      <c r="B126" s="6" t="s">
        <v>83</v>
      </c>
      <c r="C126" s="77" t="s">
        <v>226</v>
      </c>
      <c r="D126" s="20" t="s">
        <v>40</v>
      </c>
      <c r="F126" s="9">
        <f>10-1</f>
        <v>9</v>
      </c>
      <c r="M126" s="9">
        <f t="shared" si="23"/>
        <v>9</v>
      </c>
      <c r="N126" s="57">
        <f t="shared" si="24"/>
        <v>1.487603305785124E-2</v>
      </c>
      <c r="P126" s="138"/>
    </row>
    <row r="127" spans="2:16" s="9" customFormat="1" ht="15.75" x14ac:dyDescent="0.25">
      <c r="B127" s="6" t="s">
        <v>84</v>
      </c>
      <c r="C127" s="77" t="s">
        <v>227</v>
      </c>
      <c r="D127" s="6" t="s">
        <v>46</v>
      </c>
      <c r="E127" s="9">
        <v>7</v>
      </c>
      <c r="F127" s="9">
        <v>8</v>
      </c>
      <c r="M127" s="9">
        <f t="shared" si="23"/>
        <v>15</v>
      </c>
      <c r="N127" s="57">
        <f t="shared" si="24"/>
        <v>2.4793388429752067E-2</v>
      </c>
      <c r="P127" s="138"/>
    </row>
    <row r="128" spans="2:16" s="9" customFormat="1" ht="15.75" x14ac:dyDescent="0.25">
      <c r="B128" s="6" t="s">
        <v>72</v>
      </c>
      <c r="C128" s="77" t="s">
        <v>228</v>
      </c>
      <c r="D128" s="20" t="s">
        <v>42</v>
      </c>
      <c r="I128" s="9">
        <v>4</v>
      </c>
      <c r="M128" s="9">
        <f t="shared" si="23"/>
        <v>4</v>
      </c>
      <c r="N128" s="57">
        <f t="shared" si="24"/>
        <v>6.6115702479338841E-3</v>
      </c>
      <c r="P128" s="138"/>
    </row>
    <row r="129" spans="2:16" s="9" customFormat="1" ht="15.75" x14ac:dyDescent="0.25">
      <c r="B129" s="6" t="s">
        <v>74</v>
      </c>
      <c r="C129" s="77" t="s">
        <v>229</v>
      </c>
      <c r="D129" s="6" t="s">
        <v>44</v>
      </c>
      <c r="E129" s="9">
        <v>2</v>
      </c>
      <c r="F129" s="9">
        <v>8</v>
      </c>
      <c r="M129" s="9">
        <f t="shared" si="23"/>
        <v>10</v>
      </c>
      <c r="N129" s="57">
        <f t="shared" si="24"/>
        <v>1.6528925619834711E-2</v>
      </c>
      <c r="P129" s="138"/>
    </row>
    <row r="130" spans="2:16" s="9" customFormat="1" ht="15.75" x14ac:dyDescent="0.25">
      <c r="B130" s="6" t="s">
        <v>75</v>
      </c>
      <c r="C130" s="77" t="s">
        <v>230</v>
      </c>
      <c r="D130" s="6" t="s">
        <v>45</v>
      </c>
      <c r="F130" s="9">
        <v>2</v>
      </c>
      <c r="M130" s="9">
        <f t="shared" si="23"/>
        <v>2</v>
      </c>
      <c r="N130" s="57">
        <f t="shared" si="24"/>
        <v>3.3057851239669421E-3</v>
      </c>
      <c r="P130" s="138"/>
    </row>
    <row r="131" spans="2:16" s="9" customFormat="1" ht="15.75" x14ac:dyDescent="0.25">
      <c r="B131" s="6" t="s">
        <v>85</v>
      </c>
      <c r="C131" s="77" t="s">
        <v>231</v>
      </c>
      <c r="E131" s="9">
        <v>10</v>
      </c>
      <c r="F131" s="9">
        <v>38</v>
      </c>
      <c r="G131" s="9">
        <v>2</v>
      </c>
      <c r="I131" s="9">
        <v>5</v>
      </c>
      <c r="M131" s="9">
        <f t="shared" si="23"/>
        <v>55</v>
      </c>
      <c r="N131" s="57">
        <f t="shared" si="24"/>
        <v>9.0909090909090912E-2</v>
      </c>
      <c r="P131" s="138"/>
    </row>
    <row r="132" spans="2:16" s="9" customFormat="1" ht="16.5" thickBot="1" x14ac:dyDescent="0.3">
      <c r="B132" s="8" t="s">
        <v>119</v>
      </c>
      <c r="C132" s="77"/>
      <c r="E132" s="21">
        <f t="shared" ref="E132:N132" si="25">SUM(E95:E131)</f>
        <v>189</v>
      </c>
      <c r="F132" s="21">
        <f t="shared" si="25"/>
        <v>273</v>
      </c>
      <c r="G132" s="21">
        <f t="shared" si="25"/>
        <v>17</v>
      </c>
      <c r="H132" s="21">
        <f t="shared" si="25"/>
        <v>96</v>
      </c>
      <c r="I132" s="21">
        <f t="shared" si="25"/>
        <v>30</v>
      </c>
      <c r="J132" s="21">
        <f t="shared" si="25"/>
        <v>0</v>
      </c>
      <c r="K132" s="21">
        <f t="shared" si="25"/>
        <v>0</v>
      </c>
      <c r="L132" s="21">
        <f t="shared" si="25"/>
        <v>0</v>
      </c>
      <c r="M132" s="21">
        <f t="shared" si="25"/>
        <v>605</v>
      </c>
      <c r="N132" s="58">
        <f t="shared" si="25"/>
        <v>1.0000000000000002</v>
      </c>
      <c r="P132" s="138"/>
    </row>
    <row r="133" spans="2:16" s="9" customFormat="1" ht="16.5" thickTop="1" x14ac:dyDescent="0.25">
      <c r="B133" s="6"/>
      <c r="C133" s="77"/>
      <c r="F133" s="11"/>
      <c r="G133" s="11" t="s">
        <v>118</v>
      </c>
      <c r="H133" s="9">
        <f>+H132+F132</f>
        <v>369</v>
      </c>
      <c r="L133" s="63" t="s">
        <v>180</v>
      </c>
      <c r="M133" s="34">
        <v>31</v>
      </c>
      <c r="N133" s="10">
        <f>COUNT(E95:L130)</f>
        <v>48</v>
      </c>
      <c r="P133" s="138"/>
    </row>
    <row r="134" spans="2:16" s="9" customFormat="1" ht="15.75" x14ac:dyDescent="0.25">
      <c r="B134" s="6"/>
      <c r="C134" s="77"/>
      <c r="D134" s="55" t="s">
        <v>177</v>
      </c>
      <c r="E134" s="56">
        <f t="shared" ref="E134:M134" si="26">+E132/$M132</f>
        <v>0.31239669421487604</v>
      </c>
      <c r="F134" s="56">
        <f t="shared" si="26"/>
        <v>0.45123966942148758</v>
      </c>
      <c r="G134" s="56">
        <f t="shared" si="26"/>
        <v>2.809917355371901E-2</v>
      </c>
      <c r="H134" s="56">
        <f t="shared" si="26"/>
        <v>0.15867768595041323</v>
      </c>
      <c r="I134" s="56">
        <f t="shared" si="26"/>
        <v>4.9586776859504134E-2</v>
      </c>
      <c r="J134" s="56">
        <f t="shared" si="26"/>
        <v>0</v>
      </c>
      <c r="K134" s="56">
        <f t="shared" si="26"/>
        <v>0</v>
      </c>
      <c r="L134" s="56">
        <f t="shared" si="26"/>
        <v>0</v>
      </c>
      <c r="M134" s="56">
        <f t="shared" si="26"/>
        <v>1</v>
      </c>
      <c r="N134" s="10"/>
      <c r="P134" s="138"/>
    </row>
    <row r="135" spans="2:16" s="9" customFormat="1" ht="15.75" x14ac:dyDescent="0.25">
      <c r="B135" s="5" t="s">
        <v>127</v>
      </c>
      <c r="C135" s="5"/>
      <c r="D135" s="6"/>
      <c r="F135" s="11"/>
      <c r="N135" s="10"/>
      <c r="P135" s="138"/>
    </row>
    <row r="136" spans="2:16" s="9" customFormat="1" ht="15.75" x14ac:dyDescent="0.25">
      <c r="B136" s="19" t="s">
        <v>47</v>
      </c>
      <c r="C136" s="19"/>
      <c r="D136" s="19" t="s">
        <v>187</v>
      </c>
      <c r="F136" s="11"/>
      <c r="N136" s="10"/>
      <c r="P136" s="138"/>
    </row>
    <row r="137" spans="2:16" s="9" customFormat="1" ht="15.75" x14ac:dyDescent="0.25">
      <c r="B137" s="18" t="s">
        <v>76</v>
      </c>
      <c r="C137" s="6"/>
      <c r="D137" s="82" t="s">
        <v>188</v>
      </c>
      <c r="E137" s="7" t="s">
        <v>24</v>
      </c>
      <c r="F137" s="7" t="s">
        <v>137</v>
      </c>
      <c r="G137" s="7" t="s">
        <v>138</v>
      </c>
      <c r="H137" s="7" t="s">
        <v>137</v>
      </c>
      <c r="I137" s="7" t="s">
        <v>139</v>
      </c>
      <c r="J137" s="7" t="s">
        <v>143</v>
      </c>
      <c r="K137" s="7" t="s">
        <v>144</v>
      </c>
      <c r="L137" s="7" t="s">
        <v>145</v>
      </c>
      <c r="M137" s="7" t="s">
        <v>116</v>
      </c>
      <c r="N137" s="7" t="s">
        <v>177</v>
      </c>
      <c r="P137" s="138"/>
    </row>
    <row r="138" spans="2:16" s="9" customFormat="1" ht="15.75" x14ac:dyDescent="0.25">
      <c r="B138" s="6" t="s">
        <v>62</v>
      </c>
      <c r="C138" s="77" t="s">
        <v>197</v>
      </c>
      <c r="D138" s="82" t="s">
        <v>27</v>
      </c>
      <c r="E138" s="81"/>
      <c r="M138" s="9">
        <f t="shared" ref="M138:M174" si="27">SUM(E138:L138)</f>
        <v>0</v>
      </c>
      <c r="N138" s="57">
        <f t="shared" ref="N138:N174" si="28">+M138/M$175</f>
        <v>0</v>
      </c>
      <c r="P138" s="138"/>
    </row>
    <row r="139" spans="2:16" s="9" customFormat="1" ht="15.75" x14ac:dyDescent="0.25">
      <c r="B139" s="6" t="s">
        <v>63</v>
      </c>
      <c r="C139" s="77" t="s">
        <v>198</v>
      </c>
      <c r="D139" s="82" t="s">
        <v>28</v>
      </c>
      <c r="E139" s="81"/>
      <c r="J139" s="81"/>
      <c r="M139" s="9">
        <f t="shared" si="27"/>
        <v>0</v>
      </c>
      <c r="N139" s="57">
        <f t="shared" si="28"/>
        <v>0</v>
      </c>
      <c r="P139" s="138"/>
    </row>
    <row r="140" spans="2:16" s="9" customFormat="1" ht="15.75" x14ac:dyDescent="0.25">
      <c r="B140" s="6" t="s">
        <v>53</v>
      </c>
      <c r="C140" s="77" t="s">
        <v>213</v>
      </c>
      <c r="D140" s="82" t="s">
        <v>18</v>
      </c>
      <c r="E140" s="80"/>
      <c r="M140" s="9">
        <f t="shared" si="27"/>
        <v>0</v>
      </c>
      <c r="N140" s="57">
        <f t="shared" si="28"/>
        <v>0</v>
      </c>
      <c r="P140" s="138"/>
    </row>
    <row r="141" spans="2:16" s="9" customFormat="1" ht="15.75" x14ac:dyDescent="0.25">
      <c r="B141" s="6" t="s">
        <v>55</v>
      </c>
      <c r="C141" s="77" t="s">
        <v>199</v>
      </c>
      <c r="D141" s="82" t="s">
        <v>20</v>
      </c>
      <c r="E141" s="81">
        <v>15</v>
      </c>
      <c r="J141" s="81"/>
      <c r="M141" s="9">
        <f t="shared" si="27"/>
        <v>15</v>
      </c>
      <c r="N141" s="57">
        <f t="shared" si="28"/>
        <v>1.194267515923567E-2</v>
      </c>
      <c r="P141" s="138"/>
    </row>
    <row r="142" spans="2:16" s="9" customFormat="1" ht="15.75" x14ac:dyDescent="0.25">
      <c r="B142" s="6" t="s">
        <v>56</v>
      </c>
      <c r="C142" s="77" t="s">
        <v>200</v>
      </c>
      <c r="D142" s="82" t="s">
        <v>21</v>
      </c>
      <c r="E142" s="81">
        <v>27</v>
      </c>
      <c r="M142" s="9">
        <f t="shared" si="27"/>
        <v>27</v>
      </c>
      <c r="N142" s="57">
        <f t="shared" si="28"/>
        <v>2.1496815286624203E-2</v>
      </c>
      <c r="P142" s="138"/>
    </row>
    <row r="143" spans="2:16" s="9" customFormat="1" ht="15.75" x14ac:dyDescent="0.25">
      <c r="B143" s="6" t="s">
        <v>57</v>
      </c>
      <c r="C143" s="77" t="s">
        <v>201</v>
      </c>
      <c r="D143" s="82" t="s">
        <v>22</v>
      </c>
      <c r="E143" s="81">
        <v>57</v>
      </c>
      <c r="F143" s="9">
        <v>1</v>
      </c>
      <c r="M143" s="9">
        <f t="shared" si="27"/>
        <v>58</v>
      </c>
      <c r="N143" s="57">
        <f t="shared" si="28"/>
        <v>4.6178343949044583E-2</v>
      </c>
      <c r="P143" s="138"/>
    </row>
    <row r="144" spans="2:16" s="9" customFormat="1" ht="15.75" x14ac:dyDescent="0.25">
      <c r="B144" s="6" t="s">
        <v>79</v>
      </c>
      <c r="C144" s="77" t="s">
        <v>202</v>
      </c>
      <c r="D144" s="82" t="s">
        <v>31</v>
      </c>
      <c r="E144" s="81">
        <v>31</v>
      </c>
      <c r="M144" s="9">
        <f t="shared" si="27"/>
        <v>31</v>
      </c>
      <c r="N144" s="57">
        <f t="shared" si="28"/>
        <v>2.4681528662420384E-2</v>
      </c>
      <c r="P144" s="138"/>
    </row>
    <row r="145" spans="2:16" s="9" customFormat="1" ht="15.75" x14ac:dyDescent="0.25">
      <c r="B145" s="6" t="s">
        <v>67</v>
      </c>
      <c r="C145" s="77" t="s">
        <v>203</v>
      </c>
      <c r="D145" s="82" t="s">
        <v>33</v>
      </c>
      <c r="E145" s="81">
        <v>13</v>
      </c>
      <c r="M145" s="9">
        <f t="shared" si="27"/>
        <v>13</v>
      </c>
      <c r="N145" s="57">
        <f t="shared" si="28"/>
        <v>1.0350318471337579E-2</v>
      </c>
      <c r="P145" s="138"/>
    </row>
    <row r="146" spans="2:16" s="9" customFormat="1" ht="15.75" x14ac:dyDescent="0.25">
      <c r="B146" s="6" t="s">
        <v>69</v>
      </c>
      <c r="C146" s="77" t="s">
        <v>204</v>
      </c>
      <c r="D146" s="82" t="s">
        <v>38</v>
      </c>
      <c r="E146" s="81">
        <v>2</v>
      </c>
      <c r="M146" s="9">
        <f t="shared" si="27"/>
        <v>2</v>
      </c>
      <c r="N146" s="57">
        <f t="shared" si="28"/>
        <v>1.5923566878980893E-3</v>
      </c>
      <c r="P146" s="138"/>
    </row>
    <row r="147" spans="2:16" s="9" customFormat="1" ht="15.75" x14ac:dyDescent="0.25">
      <c r="B147" s="6" t="s">
        <v>71</v>
      </c>
      <c r="C147" s="77" t="s">
        <v>205</v>
      </c>
      <c r="D147" s="82" t="s">
        <v>41</v>
      </c>
      <c r="E147" s="81">
        <v>17</v>
      </c>
      <c r="M147" s="9">
        <f t="shared" si="27"/>
        <v>17</v>
      </c>
      <c r="N147" s="57">
        <f t="shared" si="28"/>
        <v>1.3535031847133758E-2</v>
      </c>
      <c r="P147" s="138"/>
    </row>
    <row r="148" spans="2:16" s="9" customFormat="1" ht="15.75" x14ac:dyDescent="0.25">
      <c r="B148" s="6" t="s">
        <v>73</v>
      </c>
      <c r="C148" s="77" t="s">
        <v>206</v>
      </c>
      <c r="D148" s="82" t="s">
        <v>43</v>
      </c>
      <c r="E148" s="81">
        <v>21</v>
      </c>
      <c r="M148" s="9">
        <f t="shared" si="27"/>
        <v>21</v>
      </c>
      <c r="N148" s="57">
        <f t="shared" si="28"/>
        <v>1.6719745222929936E-2</v>
      </c>
      <c r="P148" s="138"/>
    </row>
    <row r="149" spans="2:16" s="9" customFormat="1" ht="15.75" x14ac:dyDescent="0.25">
      <c r="B149" s="6" t="s">
        <v>61</v>
      </c>
      <c r="C149" s="77" t="s">
        <v>196</v>
      </c>
      <c r="D149" s="6" t="s">
        <v>26</v>
      </c>
      <c r="F149" s="9">
        <v>1</v>
      </c>
      <c r="I149" s="9">
        <v>6</v>
      </c>
      <c r="M149" s="9">
        <f t="shared" si="27"/>
        <v>7</v>
      </c>
      <c r="N149" s="57">
        <f t="shared" si="28"/>
        <v>5.5732484076433117E-3</v>
      </c>
      <c r="P149" s="138"/>
    </row>
    <row r="150" spans="2:16" s="9" customFormat="1" ht="15.75" x14ac:dyDescent="0.25">
      <c r="B150" s="6" t="s">
        <v>48</v>
      </c>
      <c r="C150" s="77" t="s">
        <v>207</v>
      </c>
      <c r="D150" s="6" t="s">
        <v>12</v>
      </c>
      <c r="E150" s="9">
        <v>21</v>
      </c>
      <c r="M150" s="9">
        <f t="shared" si="27"/>
        <v>21</v>
      </c>
      <c r="N150" s="57">
        <f t="shared" si="28"/>
        <v>1.6719745222929936E-2</v>
      </c>
      <c r="P150" s="138"/>
    </row>
    <row r="151" spans="2:16" s="9" customFormat="1" ht="15.75" x14ac:dyDescent="0.25">
      <c r="B151" s="6" t="s">
        <v>77</v>
      </c>
      <c r="C151" s="77" t="s">
        <v>208</v>
      </c>
      <c r="D151" s="20" t="s">
        <v>13</v>
      </c>
      <c r="F151" s="9">
        <v>35</v>
      </c>
      <c r="G151" s="9">
        <v>4</v>
      </c>
      <c r="M151" s="9">
        <f t="shared" si="27"/>
        <v>39</v>
      </c>
      <c r="N151" s="57">
        <f t="shared" si="28"/>
        <v>3.1050955414012739E-2</v>
      </c>
      <c r="P151" s="138"/>
    </row>
    <row r="152" spans="2:16" s="9" customFormat="1" ht="15.75" x14ac:dyDescent="0.25">
      <c r="B152" s="6" t="s">
        <v>49</v>
      </c>
      <c r="C152" s="77" t="s">
        <v>209</v>
      </c>
      <c r="D152" s="6" t="s">
        <v>14</v>
      </c>
      <c r="E152" s="9">
        <v>1</v>
      </c>
      <c r="M152" s="9">
        <f t="shared" si="27"/>
        <v>1</v>
      </c>
      <c r="N152" s="57">
        <f t="shared" si="28"/>
        <v>7.9617834394904463E-4</v>
      </c>
      <c r="P152" s="138"/>
    </row>
    <row r="153" spans="2:16" s="9" customFormat="1" ht="15.75" x14ac:dyDescent="0.25">
      <c r="B153" s="6" t="s">
        <v>50</v>
      </c>
      <c r="C153" s="77" t="s">
        <v>210</v>
      </c>
      <c r="D153" s="6" t="s">
        <v>15</v>
      </c>
      <c r="E153" s="9">
        <v>29</v>
      </c>
      <c r="F153" s="9">
        <v>29</v>
      </c>
      <c r="G153" s="9">
        <v>8</v>
      </c>
      <c r="M153" s="9">
        <f t="shared" si="27"/>
        <v>66</v>
      </c>
      <c r="N153" s="57">
        <f t="shared" si="28"/>
        <v>5.2547770700636945E-2</v>
      </c>
      <c r="P153" s="138"/>
    </row>
    <row r="154" spans="2:16" s="9" customFormat="1" ht="15.75" x14ac:dyDescent="0.25">
      <c r="B154" s="6" t="s">
        <v>51</v>
      </c>
      <c r="C154" s="77" t="s">
        <v>211</v>
      </c>
      <c r="D154" s="6" t="s">
        <v>16</v>
      </c>
      <c r="F154" s="9">
        <v>1</v>
      </c>
      <c r="G154" s="9">
        <v>9</v>
      </c>
      <c r="M154" s="9">
        <f t="shared" si="27"/>
        <v>10</v>
      </c>
      <c r="N154" s="57">
        <f t="shared" si="28"/>
        <v>7.9617834394904458E-3</v>
      </c>
      <c r="P154" s="138"/>
    </row>
    <row r="155" spans="2:16" s="9" customFormat="1" ht="15.75" x14ac:dyDescent="0.25">
      <c r="B155" s="6" t="s">
        <v>52</v>
      </c>
      <c r="C155" s="77" t="s">
        <v>212</v>
      </c>
      <c r="D155" s="6" t="s">
        <v>17</v>
      </c>
      <c r="G155" s="9">
        <v>11</v>
      </c>
      <c r="M155" s="9">
        <f t="shared" si="27"/>
        <v>11</v>
      </c>
      <c r="N155" s="57">
        <f t="shared" si="28"/>
        <v>8.7579617834394902E-3</v>
      </c>
      <c r="P155" s="138"/>
    </row>
    <row r="156" spans="2:16" s="9" customFormat="1" ht="15.75" x14ac:dyDescent="0.25">
      <c r="B156" s="6" t="s">
        <v>54</v>
      </c>
      <c r="C156" s="77" t="s">
        <v>214</v>
      </c>
      <c r="D156" s="6" t="s">
        <v>19</v>
      </c>
      <c r="F156" s="9">
        <v>8</v>
      </c>
      <c r="M156" s="9">
        <f t="shared" si="27"/>
        <v>8</v>
      </c>
      <c r="N156" s="57">
        <f t="shared" si="28"/>
        <v>6.369426751592357E-3</v>
      </c>
      <c r="P156" s="138"/>
    </row>
    <row r="157" spans="2:16" s="9" customFormat="1" ht="15.75" x14ac:dyDescent="0.25">
      <c r="B157" s="6" t="s">
        <v>58</v>
      </c>
      <c r="C157" s="77" t="s">
        <v>232</v>
      </c>
      <c r="D157" s="6" t="s">
        <v>23</v>
      </c>
      <c r="F157" s="9">
        <v>2</v>
      </c>
      <c r="M157" s="9">
        <f t="shared" si="27"/>
        <v>2</v>
      </c>
      <c r="N157" s="57">
        <f t="shared" si="28"/>
        <v>1.5923566878980893E-3</v>
      </c>
      <c r="P157" s="138"/>
    </row>
    <row r="158" spans="2:16" s="9" customFormat="1" ht="15.75" x14ac:dyDescent="0.25">
      <c r="B158" s="6" t="s">
        <v>59</v>
      </c>
      <c r="C158" s="77" t="s">
        <v>215</v>
      </c>
      <c r="D158" s="6" t="s">
        <v>24</v>
      </c>
      <c r="F158" s="9">
        <v>139</v>
      </c>
      <c r="G158" s="9">
        <v>3</v>
      </c>
      <c r="M158" s="9">
        <f t="shared" si="27"/>
        <v>142</v>
      </c>
      <c r="N158" s="57">
        <f t="shared" si="28"/>
        <v>0.11305732484076433</v>
      </c>
      <c r="P158" s="138"/>
    </row>
    <row r="159" spans="2:16" s="9" customFormat="1" ht="15.75" x14ac:dyDescent="0.25">
      <c r="B159" s="6" t="s">
        <v>60</v>
      </c>
      <c r="C159" s="77" t="s">
        <v>216</v>
      </c>
      <c r="D159" s="6" t="s">
        <v>25</v>
      </c>
      <c r="F159" s="9">
        <v>3</v>
      </c>
      <c r="I159" s="9">
        <v>22</v>
      </c>
      <c r="M159" s="9">
        <f t="shared" si="27"/>
        <v>25</v>
      </c>
      <c r="N159" s="57">
        <f t="shared" si="28"/>
        <v>1.9904458598726114E-2</v>
      </c>
      <c r="P159" s="138"/>
    </row>
    <row r="160" spans="2:16" s="9" customFormat="1" ht="15.75" x14ac:dyDescent="0.25">
      <c r="B160" s="6" t="s">
        <v>78</v>
      </c>
      <c r="C160" s="77" t="s">
        <v>217</v>
      </c>
      <c r="D160" s="6" t="s">
        <v>195</v>
      </c>
      <c r="H160" s="84">
        <v>103</v>
      </c>
      <c r="M160" s="9">
        <f t="shared" si="27"/>
        <v>103</v>
      </c>
      <c r="N160" s="57">
        <f t="shared" si="28"/>
        <v>8.2006369426751588E-2</v>
      </c>
      <c r="P160" s="138"/>
    </row>
    <row r="161" spans="2:16" s="9" customFormat="1" ht="15.75" x14ac:dyDescent="0.25">
      <c r="B161" s="6" t="s">
        <v>64</v>
      </c>
      <c r="C161" s="77" t="s">
        <v>218</v>
      </c>
      <c r="D161" s="6" t="s">
        <v>29</v>
      </c>
      <c r="E161" s="9">
        <v>58</v>
      </c>
      <c r="F161" s="9">
        <v>89</v>
      </c>
      <c r="G161" s="9">
        <v>11</v>
      </c>
      <c r="M161" s="9">
        <f t="shared" si="27"/>
        <v>158</v>
      </c>
      <c r="N161" s="57">
        <f t="shared" si="28"/>
        <v>0.12579617834394904</v>
      </c>
      <c r="P161" s="138"/>
    </row>
    <row r="162" spans="2:16" s="9" customFormat="1" ht="15.75" x14ac:dyDescent="0.25">
      <c r="B162" s="6" t="s">
        <v>65</v>
      </c>
      <c r="C162" s="77" t="s">
        <v>219</v>
      </c>
      <c r="D162" s="6" t="s">
        <v>30</v>
      </c>
      <c r="E162" s="9">
        <v>5</v>
      </c>
      <c r="M162" s="9">
        <f t="shared" si="27"/>
        <v>5</v>
      </c>
      <c r="N162" s="57">
        <f t="shared" si="28"/>
        <v>3.9808917197452229E-3</v>
      </c>
      <c r="P162" s="138"/>
    </row>
    <row r="163" spans="2:16" s="9" customFormat="1" ht="15.75" x14ac:dyDescent="0.25">
      <c r="B163" s="6" t="s">
        <v>66</v>
      </c>
      <c r="C163" s="77" t="s">
        <v>220</v>
      </c>
      <c r="D163" s="6" t="s">
        <v>32</v>
      </c>
      <c r="G163" s="9">
        <v>6</v>
      </c>
      <c r="M163" s="9">
        <f t="shared" si="27"/>
        <v>6</v>
      </c>
      <c r="N163" s="57">
        <f t="shared" si="28"/>
        <v>4.7770700636942673E-3</v>
      </c>
      <c r="P163" s="138"/>
    </row>
    <row r="164" spans="2:16" s="9" customFormat="1" ht="15.75" x14ac:dyDescent="0.25">
      <c r="B164" s="20" t="s">
        <v>80</v>
      </c>
      <c r="C164" s="77" t="s">
        <v>221</v>
      </c>
      <c r="D164" s="20" t="s">
        <v>34</v>
      </c>
      <c r="F164" s="9">
        <v>1</v>
      </c>
      <c r="M164" s="9">
        <f t="shared" si="27"/>
        <v>1</v>
      </c>
      <c r="N164" s="57">
        <f t="shared" si="28"/>
        <v>7.9617834394904463E-4</v>
      </c>
      <c r="P164" s="138"/>
    </row>
    <row r="165" spans="2:16" s="9" customFormat="1" ht="15.75" x14ac:dyDescent="0.25">
      <c r="B165" s="20" t="s">
        <v>81</v>
      </c>
      <c r="C165" s="77" t="s">
        <v>222</v>
      </c>
      <c r="D165" s="20" t="s">
        <v>35</v>
      </c>
      <c r="F165" s="9">
        <f>94-1</f>
        <v>93</v>
      </c>
      <c r="M165" s="9">
        <f t="shared" si="27"/>
        <v>93</v>
      </c>
      <c r="N165" s="57">
        <f t="shared" si="28"/>
        <v>7.4044585987261144E-2</v>
      </c>
      <c r="P165" s="138"/>
    </row>
    <row r="166" spans="2:16" s="9" customFormat="1" ht="15.75" x14ac:dyDescent="0.25">
      <c r="B166" s="20" t="s">
        <v>82</v>
      </c>
      <c r="C166" s="77" t="s">
        <v>223</v>
      </c>
      <c r="D166" s="20" t="s">
        <v>36</v>
      </c>
      <c r="E166" s="9">
        <v>85</v>
      </c>
      <c r="F166" s="9">
        <v>93</v>
      </c>
      <c r="G166" s="9">
        <v>10</v>
      </c>
      <c r="I166" s="9">
        <v>14</v>
      </c>
      <c r="M166" s="9">
        <f t="shared" si="27"/>
        <v>202</v>
      </c>
      <c r="N166" s="57">
        <f t="shared" si="28"/>
        <v>0.160828025477707</v>
      </c>
      <c r="P166" s="138"/>
    </row>
    <row r="167" spans="2:16" s="9" customFormat="1" ht="15.75" x14ac:dyDescent="0.25">
      <c r="B167" s="6" t="s">
        <v>68</v>
      </c>
      <c r="C167" s="77" t="s">
        <v>224</v>
      </c>
      <c r="D167" s="6" t="s">
        <v>37</v>
      </c>
      <c r="E167" s="9">
        <v>5</v>
      </c>
      <c r="F167" s="9">
        <v>7</v>
      </c>
      <c r="G167" s="9">
        <v>1</v>
      </c>
      <c r="M167" s="9">
        <f t="shared" si="27"/>
        <v>13</v>
      </c>
      <c r="N167" s="57">
        <f t="shared" si="28"/>
        <v>1.0350318471337579E-2</v>
      </c>
      <c r="P167" s="138"/>
    </row>
    <row r="168" spans="2:16" s="9" customFormat="1" ht="15.75" x14ac:dyDescent="0.25">
      <c r="B168" s="6" t="s">
        <v>70</v>
      </c>
      <c r="C168" s="77" t="s">
        <v>225</v>
      </c>
      <c r="D168" s="6" t="s">
        <v>39</v>
      </c>
      <c r="F168" s="9">
        <v>2</v>
      </c>
      <c r="M168" s="9">
        <f t="shared" si="27"/>
        <v>2</v>
      </c>
      <c r="N168" s="57">
        <f t="shared" si="28"/>
        <v>1.5923566878980893E-3</v>
      </c>
      <c r="P168" s="138"/>
    </row>
    <row r="169" spans="2:16" s="9" customFormat="1" ht="15.75" x14ac:dyDescent="0.25">
      <c r="B169" s="6" t="s">
        <v>83</v>
      </c>
      <c r="C169" s="77" t="s">
        <v>226</v>
      </c>
      <c r="D169" s="20" t="s">
        <v>40</v>
      </c>
      <c r="F169" s="9">
        <v>34</v>
      </c>
      <c r="G169" s="9">
        <v>2</v>
      </c>
      <c r="M169" s="9">
        <f t="shared" si="27"/>
        <v>36</v>
      </c>
      <c r="N169" s="57">
        <f t="shared" si="28"/>
        <v>2.8662420382165606E-2</v>
      </c>
      <c r="P169" s="138"/>
    </row>
    <row r="170" spans="2:16" s="9" customFormat="1" ht="15.75" x14ac:dyDescent="0.25">
      <c r="B170" s="6" t="s">
        <v>84</v>
      </c>
      <c r="C170" s="77" t="s">
        <v>227</v>
      </c>
      <c r="D170" s="6" t="s">
        <v>46</v>
      </c>
      <c r="E170" s="9">
        <v>9</v>
      </c>
      <c r="F170" s="9">
        <v>15</v>
      </c>
      <c r="M170" s="9">
        <f t="shared" si="27"/>
        <v>24</v>
      </c>
      <c r="N170" s="57">
        <f t="shared" si="28"/>
        <v>1.9108280254777069E-2</v>
      </c>
      <c r="P170" s="138"/>
    </row>
    <row r="171" spans="2:16" s="9" customFormat="1" ht="15.75" x14ac:dyDescent="0.25">
      <c r="B171" s="6" t="s">
        <v>72</v>
      </c>
      <c r="C171" s="77" t="s">
        <v>228</v>
      </c>
      <c r="D171" s="20" t="s">
        <v>42</v>
      </c>
      <c r="I171" s="9">
        <v>14</v>
      </c>
      <c r="M171" s="9">
        <f t="shared" si="27"/>
        <v>14</v>
      </c>
      <c r="N171" s="57">
        <f t="shared" si="28"/>
        <v>1.1146496815286623E-2</v>
      </c>
      <c r="P171" s="138"/>
    </row>
    <row r="172" spans="2:16" s="9" customFormat="1" ht="15.75" x14ac:dyDescent="0.25">
      <c r="B172" s="6" t="s">
        <v>74</v>
      </c>
      <c r="C172" s="77" t="s">
        <v>229</v>
      </c>
      <c r="D172" s="6" t="s">
        <v>44</v>
      </c>
      <c r="E172" s="9">
        <v>9</v>
      </c>
      <c r="F172" s="9">
        <v>28</v>
      </c>
      <c r="M172" s="9">
        <f t="shared" si="27"/>
        <v>37</v>
      </c>
      <c r="N172" s="57">
        <f t="shared" si="28"/>
        <v>2.945859872611465E-2</v>
      </c>
      <c r="P172" s="138"/>
    </row>
    <row r="173" spans="2:16" s="9" customFormat="1" ht="15.75" x14ac:dyDescent="0.25">
      <c r="B173" s="6" t="s">
        <v>75</v>
      </c>
      <c r="C173" s="77" t="s">
        <v>230</v>
      </c>
      <c r="D173" s="6" t="s">
        <v>45</v>
      </c>
      <c r="F173" s="9">
        <v>8</v>
      </c>
      <c r="I173" s="9">
        <v>4</v>
      </c>
      <c r="M173" s="9">
        <f t="shared" si="27"/>
        <v>12</v>
      </c>
      <c r="N173" s="57">
        <f t="shared" si="28"/>
        <v>9.5541401273885346E-3</v>
      </c>
      <c r="P173" s="138"/>
    </row>
    <row r="174" spans="2:16" s="9" customFormat="1" ht="15.75" x14ac:dyDescent="0.25">
      <c r="B174" s="6" t="s">
        <v>85</v>
      </c>
      <c r="C174" s="77" t="s">
        <v>231</v>
      </c>
      <c r="E174" s="9">
        <v>10</v>
      </c>
      <c r="F174" s="9">
        <v>18</v>
      </c>
      <c r="I174" s="9">
        <v>4</v>
      </c>
      <c r="K174" s="9">
        <v>2</v>
      </c>
      <c r="M174" s="9">
        <f t="shared" si="27"/>
        <v>34</v>
      </c>
      <c r="N174" s="57">
        <f t="shared" si="28"/>
        <v>2.7070063694267517E-2</v>
      </c>
      <c r="P174" s="138"/>
    </row>
    <row r="175" spans="2:16" s="9" customFormat="1" ht="16.5" thickBot="1" x14ac:dyDescent="0.3">
      <c r="B175" s="8" t="s">
        <v>119</v>
      </c>
      <c r="C175" s="77"/>
      <c r="E175" s="21">
        <f t="shared" ref="E175:N175" si="29">SUM(E138:E174)</f>
        <v>415</v>
      </c>
      <c r="F175" s="21">
        <f t="shared" si="29"/>
        <v>607</v>
      </c>
      <c r="G175" s="21">
        <f t="shared" si="29"/>
        <v>65</v>
      </c>
      <c r="H175" s="21">
        <f t="shared" si="29"/>
        <v>103</v>
      </c>
      <c r="I175" s="21">
        <f t="shared" si="29"/>
        <v>64</v>
      </c>
      <c r="J175" s="21">
        <f t="shared" si="29"/>
        <v>0</v>
      </c>
      <c r="K175" s="21">
        <f t="shared" si="29"/>
        <v>2</v>
      </c>
      <c r="L175" s="21">
        <f t="shared" si="29"/>
        <v>0</v>
      </c>
      <c r="M175" s="21">
        <f t="shared" si="29"/>
        <v>1256</v>
      </c>
      <c r="N175" s="58">
        <f t="shared" si="29"/>
        <v>1.0000000000000002</v>
      </c>
      <c r="P175" s="138"/>
    </row>
    <row r="176" spans="2:16" s="9" customFormat="1" ht="16.5" thickTop="1" x14ac:dyDescent="0.25">
      <c r="B176" s="6"/>
      <c r="C176" s="77"/>
      <c r="F176" s="11"/>
      <c r="G176" s="11" t="s">
        <v>118</v>
      </c>
      <c r="H176" s="9">
        <f>+H175+F175</f>
        <v>710</v>
      </c>
      <c r="L176" s="63" t="s">
        <v>180</v>
      </c>
      <c r="M176" s="34">
        <v>33</v>
      </c>
      <c r="N176" s="10">
        <f>COUNT(E138:L173)</f>
        <v>52</v>
      </c>
      <c r="P176" s="138"/>
    </row>
    <row r="177" spans="2:16" s="9" customFormat="1" ht="15.75" x14ac:dyDescent="0.25">
      <c r="B177" s="6"/>
      <c r="C177" s="77"/>
      <c r="D177" s="55" t="s">
        <v>177</v>
      </c>
      <c r="E177" s="56">
        <f t="shared" ref="E177:M177" si="30">+E175/$M175</f>
        <v>0.33041401273885351</v>
      </c>
      <c r="F177" s="56">
        <f t="shared" si="30"/>
        <v>0.48328025477707004</v>
      </c>
      <c r="G177" s="56">
        <f t="shared" si="30"/>
        <v>5.17515923566879E-2</v>
      </c>
      <c r="H177" s="56">
        <f t="shared" si="30"/>
        <v>8.2006369426751588E-2</v>
      </c>
      <c r="I177" s="56">
        <f t="shared" si="30"/>
        <v>5.0955414012738856E-2</v>
      </c>
      <c r="J177" s="56">
        <f t="shared" si="30"/>
        <v>0</v>
      </c>
      <c r="K177" s="56">
        <f t="shared" si="30"/>
        <v>1.5923566878980893E-3</v>
      </c>
      <c r="L177" s="56">
        <f t="shared" si="30"/>
        <v>0</v>
      </c>
      <c r="M177" s="56">
        <f t="shared" si="30"/>
        <v>1</v>
      </c>
      <c r="N177" s="10"/>
      <c r="P177" s="138"/>
    </row>
    <row r="178" spans="2:16" s="9" customFormat="1" ht="15.75" x14ac:dyDescent="0.25">
      <c r="B178" s="5" t="s">
        <v>126</v>
      </c>
      <c r="C178" s="5"/>
      <c r="D178" s="6"/>
      <c r="F178" s="11"/>
      <c r="N178" s="10"/>
      <c r="P178" s="138"/>
    </row>
    <row r="179" spans="2:16" s="9" customFormat="1" ht="15.75" x14ac:dyDescent="0.25">
      <c r="B179" s="19" t="s">
        <v>47</v>
      </c>
      <c r="C179" s="19"/>
      <c r="D179" s="19" t="s">
        <v>187</v>
      </c>
      <c r="F179" s="11"/>
      <c r="N179" s="10"/>
      <c r="P179" s="138"/>
    </row>
    <row r="180" spans="2:16" s="9" customFormat="1" ht="15.75" x14ac:dyDescent="0.25">
      <c r="B180" s="18" t="s">
        <v>76</v>
      </c>
      <c r="C180" s="6"/>
      <c r="D180" s="82" t="s">
        <v>188</v>
      </c>
      <c r="E180" s="7" t="s">
        <v>24</v>
      </c>
      <c r="F180" s="7" t="s">
        <v>137</v>
      </c>
      <c r="G180" s="7" t="s">
        <v>138</v>
      </c>
      <c r="H180" s="7" t="s">
        <v>137</v>
      </c>
      <c r="I180" s="7" t="s">
        <v>139</v>
      </c>
      <c r="J180" s="7" t="s">
        <v>143</v>
      </c>
      <c r="K180" s="7" t="s">
        <v>144</v>
      </c>
      <c r="L180" s="7" t="s">
        <v>145</v>
      </c>
      <c r="M180" s="7" t="s">
        <v>116</v>
      </c>
      <c r="N180" s="7" t="s">
        <v>177</v>
      </c>
      <c r="P180" s="138"/>
    </row>
    <row r="181" spans="2:16" s="9" customFormat="1" ht="15.75" x14ac:dyDescent="0.25">
      <c r="B181" s="6" t="s">
        <v>62</v>
      </c>
      <c r="C181" s="77" t="s">
        <v>197</v>
      </c>
      <c r="D181" s="82" t="s">
        <v>27</v>
      </c>
      <c r="E181" s="81"/>
      <c r="M181" s="9">
        <f t="shared" ref="M181:M217" si="31">SUM(E181:L181)</f>
        <v>0</v>
      </c>
      <c r="N181" s="57">
        <f t="shared" ref="N181:N217" si="32">+M181/M$218</f>
        <v>0</v>
      </c>
      <c r="P181" s="138"/>
    </row>
    <row r="182" spans="2:16" s="9" customFormat="1" ht="15.75" x14ac:dyDescent="0.25">
      <c r="B182" s="6" t="s">
        <v>63</v>
      </c>
      <c r="C182" s="77" t="s">
        <v>198</v>
      </c>
      <c r="D182" s="82" t="s">
        <v>28</v>
      </c>
      <c r="E182" s="81">
        <v>1</v>
      </c>
      <c r="J182" s="81"/>
      <c r="K182" s="9">
        <v>2</v>
      </c>
      <c r="M182" s="9">
        <f t="shared" si="31"/>
        <v>3</v>
      </c>
      <c r="N182" s="57">
        <f t="shared" si="32"/>
        <v>2.7777777777777776E-2</v>
      </c>
      <c r="P182" s="138"/>
    </row>
    <row r="183" spans="2:16" s="9" customFormat="1" ht="15.75" x14ac:dyDescent="0.25">
      <c r="B183" s="6" t="s">
        <v>53</v>
      </c>
      <c r="C183" s="77" t="s">
        <v>213</v>
      </c>
      <c r="D183" s="82" t="s">
        <v>18</v>
      </c>
      <c r="E183" s="80"/>
      <c r="F183" s="117">
        <v>1</v>
      </c>
      <c r="M183" s="9">
        <f t="shared" si="31"/>
        <v>1</v>
      </c>
      <c r="N183" s="57">
        <f t="shared" si="32"/>
        <v>9.2592592592592587E-3</v>
      </c>
      <c r="P183" s="138"/>
    </row>
    <row r="184" spans="2:16" s="9" customFormat="1" ht="15.75" x14ac:dyDescent="0.25">
      <c r="B184" s="6" t="s">
        <v>55</v>
      </c>
      <c r="C184" s="77" t="s">
        <v>199</v>
      </c>
      <c r="D184" s="82" t="s">
        <v>20</v>
      </c>
      <c r="E184" s="81"/>
      <c r="J184" s="81"/>
      <c r="M184" s="9">
        <f t="shared" si="31"/>
        <v>0</v>
      </c>
      <c r="N184" s="57">
        <f t="shared" si="32"/>
        <v>0</v>
      </c>
      <c r="P184" s="138"/>
    </row>
    <row r="185" spans="2:16" s="9" customFormat="1" ht="15.75" x14ac:dyDescent="0.25">
      <c r="B185" s="6" t="s">
        <v>56</v>
      </c>
      <c r="C185" s="77" t="s">
        <v>200</v>
      </c>
      <c r="D185" s="82" t="s">
        <v>21</v>
      </c>
      <c r="E185" s="81"/>
      <c r="M185" s="9">
        <f t="shared" si="31"/>
        <v>0</v>
      </c>
      <c r="N185" s="57">
        <f t="shared" si="32"/>
        <v>0</v>
      </c>
      <c r="P185" s="138"/>
    </row>
    <row r="186" spans="2:16" s="9" customFormat="1" ht="15.75" x14ac:dyDescent="0.25">
      <c r="B186" s="6" t="s">
        <v>57</v>
      </c>
      <c r="C186" s="77" t="s">
        <v>201</v>
      </c>
      <c r="D186" s="82" t="s">
        <v>22</v>
      </c>
      <c r="E186" s="81">
        <v>4</v>
      </c>
      <c r="F186" s="9">
        <v>1</v>
      </c>
      <c r="M186" s="9">
        <f t="shared" si="31"/>
        <v>5</v>
      </c>
      <c r="N186" s="57">
        <f t="shared" si="32"/>
        <v>4.6296296296296294E-2</v>
      </c>
      <c r="P186" s="138"/>
    </row>
    <row r="187" spans="2:16" s="9" customFormat="1" ht="15.75" x14ac:dyDescent="0.25">
      <c r="B187" s="6" t="s">
        <v>79</v>
      </c>
      <c r="C187" s="77" t="s">
        <v>202</v>
      </c>
      <c r="D187" s="82" t="s">
        <v>31</v>
      </c>
      <c r="E187" s="81">
        <v>2</v>
      </c>
      <c r="M187" s="9">
        <f t="shared" si="31"/>
        <v>2</v>
      </c>
      <c r="N187" s="57">
        <f t="shared" si="32"/>
        <v>1.8518518518518517E-2</v>
      </c>
      <c r="P187" s="138"/>
    </row>
    <row r="188" spans="2:16" s="9" customFormat="1" ht="15.75" x14ac:dyDescent="0.25">
      <c r="B188" s="6" t="s">
        <v>67</v>
      </c>
      <c r="C188" s="77" t="s">
        <v>203</v>
      </c>
      <c r="D188" s="82" t="s">
        <v>33</v>
      </c>
      <c r="E188" s="81">
        <v>1</v>
      </c>
      <c r="M188" s="9">
        <f t="shared" si="31"/>
        <v>1</v>
      </c>
      <c r="N188" s="57">
        <f t="shared" si="32"/>
        <v>9.2592592592592587E-3</v>
      </c>
      <c r="P188" s="138"/>
    </row>
    <row r="189" spans="2:16" s="9" customFormat="1" ht="15.75" x14ac:dyDescent="0.25">
      <c r="B189" s="6" t="s">
        <v>69</v>
      </c>
      <c r="C189" s="77" t="s">
        <v>204</v>
      </c>
      <c r="D189" s="82" t="s">
        <v>38</v>
      </c>
      <c r="E189" s="81">
        <v>1</v>
      </c>
      <c r="M189" s="9">
        <f t="shared" si="31"/>
        <v>1</v>
      </c>
      <c r="N189" s="57">
        <f t="shared" si="32"/>
        <v>9.2592592592592587E-3</v>
      </c>
      <c r="P189" s="138"/>
    </row>
    <row r="190" spans="2:16" s="9" customFormat="1" ht="15.75" x14ac:dyDescent="0.25">
      <c r="B190" s="6" t="s">
        <v>71</v>
      </c>
      <c r="C190" s="77" t="s">
        <v>205</v>
      </c>
      <c r="D190" s="82" t="s">
        <v>41</v>
      </c>
      <c r="E190" s="81">
        <v>5</v>
      </c>
      <c r="M190" s="9">
        <f t="shared" si="31"/>
        <v>5</v>
      </c>
      <c r="N190" s="57">
        <f t="shared" si="32"/>
        <v>4.6296296296296294E-2</v>
      </c>
      <c r="P190" s="138"/>
    </row>
    <row r="191" spans="2:16" s="9" customFormat="1" ht="15.75" x14ac:dyDescent="0.25">
      <c r="B191" s="6" t="s">
        <v>73</v>
      </c>
      <c r="C191" s="77" t="s">
        <v>206</v>
      </c>
      <c r="D191" s="82" t="s">
        <v>43</v>
      </c>
      <c r="E191" s="81"/>
      <c r="M191" s="9">
        <f t="shared" si="31"/>
        <v>0</v>
      </c>
      <c r="N191" s="57">
        <f t="shared" si="32"/>
        <v>0</v>
      </c>
      <c r="P191" s="138"/>
    </row>
    <row r="192" spans="2:16" s="9" customFormat="1" ht="15.75" x14ac:dyDescent="0.25">
      <c r="B192" s="6" t="s">
        <v>61</v>
      </c>
      <c r="C192" s="77" t="s">
        <v>196</v>
      </c>
      <c r="D192" s="6" t="s">
        <v>26</v>
      </c>
      <c r="K192" s="9">
        <v>1</v>
      </c>
      <c r="M192" s="9">
        <f t="shared" si="31"/>
        <v>1</v>
      </c>
      <c r="N192" s="57">
        <f t="shared" si="32"/>
        <v>9.2592592592592587E-3</v>
      </c>
      <c r="P192" s="138"/>
    </row>
    <row r="193" spans="2:16" s="9" customFormat="1" ht="15.75" x14ac:dyDescent="0.25">
      <c r="B193" s="6" t="s">
        <v>48</v>
      </c>
      <c r="C193" s="77" t="s">
        <v>207</v>
      </c>
      <c r="D193" s="6" t="s">
        <v>12</v>
      </c>
      <c r="E193" s="9">
        <v>1</v>
      </c>
      <c r="M193" s="9">
        <f t="shared" si="31"/>
        <v>1</v>
      </c>
      <c r="N193" s="57">
        <f t="shared" si="32"/>
        <v>9.2592592592592587E-3</v>
      </c>
      <c r="P193" s="138"/>
    </row>
    <row r="194" spans="2:16" s="9" customFormat="1" ht="15.75" x14ac:dyDescent="0.25">
      <c r="B194" s="6" t="s">
        <v>77</v>
      </c>
      <c r="C194" s="77" t="s">
        <v>208</v>
      </c>
      <c r="D194" s="20" t="s">
        <v>13</v>
      </c>
      <c r="F194" s="9">
        <v>1</v>
      </c>
      <c r="G194" s="9">
        <v>1</v>
      </c>
      <c r="M194" s="9">
        <f t="shared" si="31"/>
        <v>2</v>
      </c>
      <c r="N194" s="57">
        <f t="shared" si="32"/>
        <v>1.8518518518518517E-2</v>
      </c>
      <c r="P194" s="138"/>
    </row>
    <row r="195" spans="2:16" s="9" customFormat="1" ht="15.75" x14ac:dyDescent="0.25">
      <c r="B195" s="6" t="s">
        <v>49</v>
      </c>
      <c r="C195" s="77" t="s">
        <v>209</v>
      </c>
      <c r="D195" s="6" t="s">
        <v>14</v>
      </c>
      <c r="M195" s="9">
        <f t="shared" si="31"/>
        <v>0</v>
      </c>
      <c r="N195" s="57">
        <f t="shared" si="32"/>
        <v>0</v>
      </c>
      <c r="P195" s="138"/>
    </row>
    <row r="196" spans="2:16" s="9" customFormat="1" ht="15.75" x14ac:dyDescent="0.25">
      <c r="B196" s="6" t="s">
        <v>50</v>
      </c>
      <c r="C196" s="77" t="s">
        <v>210</v>
      </c>
      <c r="D196" s="6" t="s">
        <v>15</v>
      </c>
      <c r="E196" s="9">
        <v>1</v>
      </c>
      <c r="F196" s="9">
        <v>1</v>
      </c>
      <c r="G196" s="9">
        <v>1</v>
      </c>
      <c r="M196" s="9">
        <f t="shared" si="31"/>
        <v>3</v>
      </c>
      <c r="N196" s="57">
        <f t="shared" si="32"/>
        <v>2.7777777777777776E-2</v>
      </c>
      <c r="P196" s="138"/>
    </row>
    <row r="197" spans="2:16" s="9" customFormat="1" ht="15.75" x14ac:dyDescent="0.25">
      <c r="B197" s="6" t="s">
        <v>51</v>
      </c>
      <c r="C197" s="77" t="s">
        <v>211</v>
      </c>
      <c r="D197" s="6" t="s">
        <v>16</v>
      </c>
      <c r="K197" s="9">
        <v>3</v>
      </c>
      <c r="M197" s="9">
        <f t="shared" si="31"/>
        <v>3</v>
      </c>
      <c r="N197" s="57">
        <f t="shared" si="32"/>
        <v>2.7777777777777776E-2</v>
      </c>
      <c r="P197" s="138"/>
    </row>
    <row r="198" spans="2:16" s="9" customFormat="1" ht="15.75" x14ac:dyDescent="0.25">
      <c r="B198" s="6" t="s">
        <v>52</v>
      </c>
      <c r="C198" s="77" t="s">
        <v>212</v>
      </c>
      <c r="D198" s="6" t="s">
        <v>17</v>
      </c>
      <c r="G198" s="9">
        <v>1</v>
      </c>
      <c r="M198" s="9">
        <f t="shared" si="31"/>
        <v>1</v>
      </c>
      <c r="N198" s="57">
        <f t="shared" si="32"/>
        <v>9.2592592592592587E-3</v>
      </c>
      <c r="P198" s="138"/>
    </row>
    <row r="199" spans="2:16" s="9" customFormat="1" ht="15.75" x14ac:dyDescent="0.25">
      <c r="B199" s="6" t="s">
        <v>54</v>
      </c>
      <c r="C199" s="77" t="s">
        <v>214</v>
      </c>
      <c r="D199" s="6" t="s">
        <v>19</v>
      </c>
      <c r="F199" s="9">
        <v>1</v>
      </c>
      <c r="M199" s="9">
        <f t="shared" si="31"/>
        <v>1</v>
      </c>
      <c r="N199" s="57">
        <f t="shared" si="32"/>
        <v>9.2592592592592587E-3</v>
      </c>
      <c r="P199" s="138"/>
    </row>
    <row r="200" spans="2:16" s="9" customFormat="1" ht="15.75" x14ac:dyDescent="0.25">
      <c r="B200" s="6" t="s">
        <v>58</v>
      </c>
      <c r="C200" s="77" t="s">
        <v>232</v>
      </c>
      <c r="D200" s="6" t="s">
        <v>23</v>
      </c>
      <c r="M200" s="9">
        <f t="shared" si="31"/>
        <v>0</v>
      </c>
      <c r="N200" s="57">
        <f t="shared" si="32"/>
        <v>0</v>
      </c>
      <c r="P200" s="138"/>
    </row>
    <row r="201" spans="2:16" s="9" customFormat="1" ht="15.75" x14ac:dyDescent="0.25">
      <c r="B201" s="6" t="s">
        <v>59</v>
      </c>
      <c r="C201" s="77" t="s">
        <v>215</v>
      </c>
      <c r="D201" s="6" t="s">
        <v>24</v>
      </c>
      <c r="E201" s="9">
        <v>1</v>
      </c>
      <c r="F201" s="9">
        <v>10</v>
      </c>
      <c r="G201" s="9">
        <v>1</v>
      </c>
      <c r="M201" s="9">
        <f t="shared" si="31"/>
        <v>12</v>
      </c>
      <c r="N201" s="57">
        <f t="shared" si="32"/>
        <v>0.1111111111111111</v>
      </c>
      <c r="P201" s="138"/>
    </row>
    <row r="202" spans="2:16" s="9" customFormat="1" ht="15.75" x14ac:dyDescent="0.25">
      <c r="B202" s="6" t="s">
        <v>60</v>
      </c>
      <c r="C202" s="77" t="s">
        <v>216</v>
      </c>
      <c r="D202" s="6" t="s">
        <v>25</v>
      </c>
      <c r="M202" s="9">
        <f t="shared" si="31"/>
        <v>0</v>
      </c>
      <c r="N202" s="57">
        <f t="shared" si="32"/>
        <v>0</v>
      </c>
      <c r="P202" s="138"/>
    </row>
    <row r="203" spans="2:16" s="9" customFormat="1" ht="15.75" x14ac:dyDescent="0.25">
      <c r="B203" s="6" t="s">
        <v>78</v>
      </c>
      <c r="C203" s="77" t="s">
        <v>217</v>
      </c>
      <c r="D203" s="6" t="s">
        <v>195</v>
      </c>
      <c r="E203" s="9">
        <v>1</v>
      </c>
      <c r="H203" s="84">
        <v>14</v>
      </c>
      <c r="J203" s="9">
        <v>1</v>
      </c>
      <c r="M203" s="9">
        <f t="shared" si="31"/>
        <v>16</v>
      </c>
      <c r="N203" s="57">
        <f t="shared" si="32"/>
        <v>0.14814814814814814</v>
      </c>
      <c r="P203" s="138"/>
    </row>
    <row r="204" spans="2:16" s="9" customFormat="1" ht="15.75" x14ac:dyDescent="0.25">
      <c r="B204" s="6" t="s">
        <v>64</v>
      </c>
      <c r="C204" s="77" t="s">
        <v>218</v>
      </c>
      <c r="D204" s="6" t="s">
        <v>29</v>
      </c>
      <c r="E204" s="9">
        <v>2</v>
      </c>
      <c r="F204" s="9">
        <v>2</v>
      </c>
      <c r="G204" s="9">
        <v>1</v>
      </c>
      <c r="M204" s="9">
        <f t="shared" si="31"/>
        <v>5</v>
      </c>
      <c r="N204" s="57">
        <f t="shared" si="32"/>
        <v>4.6296296296296294E-2</v>
      </c>
      <c r="P204" s="138"/>
    </row>
    <row r="205" spans="2:16" s="9" customFormat="1" ht="15.75" x14ac:dyDescent="0.25">
      <c r="B205" s="6" t="s">
        <v>65</v>
      </c>
      <c r="C205" s="77" t="s">
        <v>219</v>
      </c>
      <c r="D205" s="6" t="s">
        <v>30</v>
      </c>
      <c r="M205" s="9">
        <f t="shared" si="31"/>
        <v>0</v>
      </c>
      <c r="N205" s="57">
        <f t="shared" si="32"/>
        <v>0</v>
      </c>
      <c r="P205" s="138"/>
    </row>
    <row r="206" spans="2:16" s="9" customFormat="1" ht="15.75" x14ac:dyDescent="0.25">
      <c r="B206" s="6" t="s">
        <v>66</v>
      </c>
      <c r="C206" s="77" t="s">
        <v>220</v>
      </c>
      <c r="D206" s="6" t="s">
        <v>32</v>
      </c>
      <c r="G206" s="9">
        <v>1</v>
      </c>
      <c r="M206" s="9">
        <f t="shared" si="31"/>
        <v>1</v>
      </c>
      <c r="N206" s="57">
        <f t="shared" si="32"/>
        <v>9.2592592592592587E-3</v>
      </c>
      <c r="P206" s="138"/>
    </row>
    <row r="207" spans="2:16" s="9" customFormat="1" ht="15.75" x14ac:dyDescent="0.25">
      <c r="B207" s="20" t="s">
        <v>80</v>
      </c>
      <c r="C207" s="77" t="s">
        <v>221</v>
      </c>
      <c r="D207" s="20" t="s">
        <v>34</v>
      </c>
      <c r="K207" s="9">
        <v>2</v>
      </c>
      <c r="M207" s="9">
        <f t="shared" si="31"/>
        <v>2</v>
      </c>
      <c r="N207" s="57">
        <f t="shared" si="32"/>
        <v>1.8518518518518517E-2</v>
      </c>
      <c r="P207" s="138"/>
    </row>
    <row r="208" spans="2:16" s="9" customFormat="1" ht="15.75" x14ac:dyDescent="0.25">
      <c r="B208" s="20" t="s">
        <v>81</v>
      </c>
      <c r="C208" s="77" t="s">
        <v>222</v>
      </c>
      <c r="D208" s="20" t="s">
        <v>35</v>
      </c>
      <c r="F208" s="9">
        <v>4</v>
      </c>
      <c r="M208" s="9">
        <f t="shared" si="31"/>
        <v>4</v>
      </c>
      <c r="N208" s="57">
        <f t="shared" si="32"/>
        <v>3.7037037037037035E-2</v>
      </c>
      <c r="P208" s="138"/>
    </row>
    <row r="209" spans="2:16" s="9" customFormat="1" ht="15.75" x14ac:dyDescent="0.25">
      <c r="B209" s="20" t="s">
        <v>82</v>
      </c>
      <c r="C209" s="77" t="s">
        <v>223</v>
      </c>
      <c r="D209" s="20" t="s">
        <v>36</v>
      </c>
      <c r="E209" s="9">
        <v>10</v>
      </c>
      <c r="F209" s="9">
        <v>7</v>
      </c>
      <c r="M209" s="9">
        <f t="shared" si="31"/>
        <v>17</v>
      </c>
      <c r="N209" s="57">
        <f t="shared" si="32"/>
        <v>0.15740740740740741</v>
      </c>
      <c r="P209" s="138"/>
    </row>
    <row r="210" spans="2:16" s="9" customFormat="1" ht="15.75" x14ac:dyDescent="0.25">
      <c r="B210" s="6" t="s">
        <v>68</v>
      </c>
      <c r="C210" s="77" t="s">
        <v>224</v>
      </c>
      <c r="D210" s="6" t="s">
        <v>37</v>
      </c>
      <c r="M210" s="9">
        <f t="shared" si="31"/>
        <v>0</v>
      </c>
      <c r="N210" s="57">
        <f t="shared" si="32"/>
        <v>0</v>
      </c>
      <c r="P210" s="138"/>
    </row>
    <row r="211" spans="2:16" s="9" customFormat="1" ht="15.75" x14ac:dyDescent="0.25">
      <c r="B211" s="6" t="s">
        <v>70</v>
      </c>
      <c r="C211" s="77" t="s">
        <v>225</v>
      </c>
      <c r="D211" s="6" t="s">
        <v>39</v>
      </c>
      <c r="M211" s="9">
        <f t="shared" si="31"/>
        <v>0</v>
      </c>
      <c r="N211" s="57">
        <f t="shared" si="32"/>
        <v>0</v>
      </c>
      <c r="P211" s="138"/>
    </row>
    <row r="212" spans="2:16" s="9" customFormat="1" ht="15.75" x14ac:dyDescent="0.25">
      <c r="B212" s="6" t="s">
        <v>83</v>
      </c>
      <c r="C212" s="77" t="s">
        <v>226</v>
      </c>
      <c r="D212" s="20" t="s">
        <v>40</v>
      </c>
      <c r="F212" s="9">
        <v>1</v>
      </c>
      <c r="M212" s="9">
        <f t="shared" si="31"/>
        <v>1</v>
      </c>
      <c r="N212" s="57">
        <f t="shared" si="32"/>
        <v>9.2592592592592587E-3</v>
      </c>
      <c r="P212" s="138"/>
    </row>
    <row r="213" spans="2:16" s="9" customFormat="1" ht="15.75" x14ac:dyDescent="0.25">
      <c r="B213" s="6" t="s">
        <v>84</v>
      </c>
      <c r="C213" s="77" t="s">
        <v>227</v>
      </c>
      <c r="D213" s="6" t="s">
        <v>46</v>
      </c>
      <c r="F213" s="9">
        <v>1</v>
      </c>
      <c r="M213" s="9">
        <f t="shared" si="31"/>
        <v>1</v>
      </c>
      <c r="N213" s="57">
        <f t="shared" si="32"/>
        <v>9.2592592592592587E-3</v>
      </c>
      <c r="P213" s="138"/>
    </row>
    <row r="214" spans="2:16" s="9" customFormat="1" ht="15.75" x14ac:dyDescent="0.25">
      <c r="B214" s="6" t="s">
        <v>72</v>
      </c>
      <c r="C214" s="77" t="s">
        <v>228</v>
      </c>
      <c r="D214" s="20" t="s">
        <v>42</v>
      </c>
      <c r="M214" s="9">
        <f t="shared" si="31"/>
        <v>0</v>
      </c>
      <c r="N214" s="57">
        <f t="shared" si="32"/>
        <v>0</v>
      </c>
      <c r="P214" s="138"/>
    </row>
    <row r="215" spans="2:16" s="9" customFormat="1" ht="15.75" x14ac:dyDescent="0.25">
      <c r="B215" s="6" t="s">
        <v>74</v>
      </c>
      <c r="C215" s="77" t="s">
        <v>229</v>
      </c>
      <c r="D215" s="6" t="s">
        <v>44</v>
      </c>
      <c r="E215" s="9">
        <v>2</v>
      </c>
      <c r="F215" s="9">
        <v>1</v>
      </c>
      <c r="M215" s="9">
        <f t="shared" si="31"/>
        <v>3</v>
      </c>
      <c r="N215" s="57">
        <f t="shared" si="32"/>
        <v>2.7777777777777776E-2</v>
      </c>
      <c r="P215" s="138"/>
    </row>
    <row r="216" spans="2:16" s="9" customFormat="1" ht="15.75" x14ac:dyDescent="0.25">
      <c r="B216" s="6" t="s">
        <v>75</v>
      </c>
      <c r="C216" s="77" t="s">
        <v>230</v>
      </c>
      <c r="D216" s="6" t="s">
        <v>45</v>
      </c>
      <c r="M216" s="9">
        <f t="shared" si="31"/>
        <v>0</v>
      </c>
      <c r="N216" s="57">
        <f t="shared" si="32"/>
        <v>0</v>
      </c>
      <c r="P216" s="138"/>
    </row>
    <row r="217" spans="2:16" s="9" customFormat="1" ht="15.75" x14ac:dyDescent="0.25">
      <c r="B217" s="6" t="s">
        <v>85</v>
      </c>
      <c r="C217" s="77" t="s">
        <v>231</v>
      </c>
      <c r="E217" s="9">
        <v>3</v>
      </c>
      <c r="F217" s="9">
        <v>9</v>
      </c>
      <c r="G217" s="9">
        <v>1</v>
      </c>
      <c r="I217" s="9">
        <v>2</v>
      </c>
      <c r="K217" s="9">
        <v>1</v>
      </c>
      <c r="M217" s="9">
        <f t="shared" si="31"/>
        <v>16</v>
      </c>
      <c r="N217" s="57">
        <f t="shared" si="32"/>
        <v>0.14814814814814814</v>
      </c>
      <c r="P217" s="138"/>
    </row>
    <row r="218" spans="2:16" s="9" customFormat="1" ht="16.5" thickBot="1" x14ac:dyDescent="0.3">
      <c r="B218" s="8" t="s">
        <v>119</v>
      </c>
      <c r="C218" s="77"/>
      <c r="E218" s="21">
        <f t="shared" ref="E218:N218" si="33">SUM(E181:E217)</f>
        <v>35</v>
      </c>
      <c r="F218" s="21">
        <f t="shared" si="33"/>
        <v>40</v>
      </c>
      <c r="G218" s="21">
        <f t="shared" si="33"/>
        <v>7</v>
      </c>
      <c r="H218" s="21">
        <f t="shared" si="33"/>
        <v>14</v>
      </c>
      <c r="I218" s="21">
        <f t="shared" si="33"/>
        <v>2</v>
      </c>
      <c r="J218" s="21">
        <f t="shared" si="33"/>
        <v>1</v>
      </c>
      <c r="K218" s="21">
        <f t="shared" si="33"/>
        <v>9</v>
      </c>
      <c r="L218" s="21">
        <f t="shared" si="33"/>
        <v>0</v>
      </c>
      <c r="M218" s="21">
        <f t="shared" si="33"/>
        <v>108</v>
      </c>
      <c r="N218" s="58">
        <f t="shared" si="33"/>
        <v>1</v>
      </c>
      <c r="P218" s="138"/>
    </row>
    <row r="219" spans="2:16" s="9" customFormat="1" ht="16.5" thickTop="1" x14ac:dyDescent="0.25">
      <c r="B219" s="6"/>
      <c r="C219" s="77"/>
      <c r="G219" s="11"/>
      <c r="H219" s="11" t="s">
        <v>118</v>
      </c>
      <c r="I219" s="9">
        <f>+H218+F218</f>
        <v>54</v>
      </c>
      <c r="L219" s="63" t="s">
        <v>180</v>
      </c>
      <c r="M219" s="34">
        <v>24</v>
      </c>
      <c r="N219" s="10">
        <f>COUNT(E181:L216)</f>
        <v>37</v>
      </c>
      <c r="P219" s="138"/>
    </row>
    <row r="220" spans="2:16" s="9" customFormat="1" ht="15.75" x14ac:dyDescent="0.25">
      <c r="B220" s="6"/>
      <c r="C220" s="77"/>
      <c r="D220" s="55" t="s">
        <v>177</v>
      </c>
      <c r="E220" s="56">
        <f t="shared" ref="E220:M220" si="34">+E218/$M218</f>
        <v>0.32407407407407407</v>
      </c>
      <c r="F220" s="56">
        <f t="shared" si="34"/>
        <v>0.37037037037037035</v>
      </c>
      <c r="G220" s="56">
        <f t="shared" si="34"/>
        <v>6.4814814814814811E-2</v>
      </c>
      <c r="H220" s="56">
        <f t="shared" si="34"/>
        <v>0.12962962962962962</v>
      </c>
      <c r="I220" s="56">
        <f t="shared" si="34"/>
        <v>1.8518518518518517E-2</v>
      </c>
      <c r="J220" s="56">
        <f t="shared" si="34"/>
        <v>9.2592592592592587E-3</v>
      </c>
      <c r="K220" s="56">
        <f t="shared" si="34"/>
        <v>8.3333333333333329E-2</v>
      </c>
      <c r="L220" s="56">
        <f t="shared" si="34"/>
        <v>0</v>
      </c>
      <c r="M220" s="56">
        <f t="shared" si="34"/>
        <v>1</v>
      </c>
      <c r="P220" s="138"/>
    </row>
  </sheetData>
  <mergeCells count="2">
    <mergeCell ref="E2:N2"/>
    <mergeCell ref="R2:AA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05"/>
  <sheetViews>
    <sheetView zoomScale="60" zoomScaleNormal="60" workbookViewId="0"/>
  </sheetViews>
  <sheetFormatPr defaultColWidth="8.85546875" defaultRowHeight="15.75" x14ac:dyDescent="0.25"/>
  <cols>
    <col min="1" max="1" width="8.85546875" style="9"/>
    <col min="2" max="2" width="28.7109375" style="6" customWidth="1"/>
    <col min="3" max="3" width="4.42578125" style="6" customWidth="1"/>
    <col min="4" max="4" width="22.5703125" style="9" customWidth="1"/>
    <col min="5" max="5" width="14" style="9" customWidth="1"/>
    <col min="6" max="6" width="13.5703125" style="9" customWidth="1"/>
    <col min="7" max="7" width="18.28515625" style="11" customWidth="1"/>
    <col min="8" max="8" width="16.85546875" style="9" customWidth="1"/>
    <col min="9" max="9" width="11.28515625" style="9" customWidth="1"/>
    <col min="10" max="10" width="10.85546875" style="9" customWidth="1"/>
    <col min="11" max="11" width="10.28515625" style="9" customWidth="1"/>
    <col min="12" max="12" width="11" style="9" customWidth="1"/>
    <col min="13" max="13" width="10.7109375" style="9" customWidth="1"/>
    <col min="14" max="14" width="9.28515625" style="9" customWidth="1"/>
    <col min="15" max="15" width="8.28515625" style="9" customWidth="1"/>
    <col min="16" max="16" width="18" style="9" bestFit="1" customWidth="1"/>
    <col min="17" max="17" width="7.7109375" style="9" bestFit="1" customWidth="1"/>
    <col min="18" max="18" width="12" style="9" bestFit="1" customWidth="1"/>
    <col min="19" max="19" width="13.42578125" style="9" bestFit="1" customWidth="1"/>
    <col min="20" max="20" width="13.28515625" style="9" customWidth="1"/>
    <col min="21" max="21" width="8.7109375" style="9" bestFit="1" customWidth="1"/>
    <col min="22" max="22" width="10.7109375" style="9" bestFit="1" customWidth="1"/>
    <col min="23" max="25" width="9.7109375" style="9" bestFit="1" customWidth="1"/>
    <col min="26" max="16384" width="8.85546875" style="9"/>
  </cols>
  <sheetData>
    <row r="1" spans="1:12" s="6" customFormat="1" ht="31.5" x14ac:dyDescent="0.25">
      <c r="A1" s="211" t="s">
        <v>148</v>
      </c>
      <c r="C1" s="5"/>
      <c r="F1" s="29" t="s">
        <v>164</v>
      </c>
      <c r="G1" s="29" t="s">
        <v>166</v>
      </c>
      <c r="H1" s="29" t="s">
        <v>179</v>
      </c>
      <c r="I1" s="29" t="s">
        <v>149</v>
      </c>
      <c r="J1" s="29" t="s">
        <v>167</v>
      </c>
      <c r="K1" s="29" t="s">
        <v>165</v>
      </c>
      <c r="L1" s="29" t="s">
        <v>168</v>
      </c>
    </row>
    <row r="2" spans="1:12" x14ac:dyDescent="0.25">
      <c r="B2" s="5"/>
      <c r="C2" s="5"/>
      <c r="E2" s="8" t="s">
        <v>154</v>
      </c>
      <c r="F2" s="23" t="s">
        <v>150</v>
      </c>
      <c r="G2" s="62" t="s">
        <v>178</v>
      </c>
      <c r="H2" s="22" t="s">
        <v>153</v>
      </c>
      <c r="I2" s="22" t="s">
        <v>152</v>
      </c>
      <c r="J2" s="26"/>
      <c r="K2" s="27"/>
      <c r="L2" s="26"/>
    </row>
    <row r="3" spans="1:12" x14ac:dyDescent="0.25">
      <c r="B3" s="5"/>
      <c r="C3" s="5"/>
      <c r="E3" s="10" t="s">
        <v>155</v>
      </c>
      <c r="F3" s="24" t="s">
        <v>158</v>
      </c>
      <c r="G3" s="25" t="s">
        <v>159</v>
      </c>
      <c r="H3" s="23" t="s">
        <v>151</v>
      </c>
      <c r="I3" s="11">
        <v>30</v>
      </c>
      <c r="K3" s="25" t="s">
        <v>159</v>
      </c>
    </row>
    <row r="4" spans="1:12" x14ac:dyDescent="0.25">
      <c r="B4" s="5" t="s">
        <v>288</v>
      </c>
      <c r="C4" s="5"/>
      <c r="D4" s="10"/>
    </row>
    <row r="5" spans="1:12" x14ac:dyDescent="0.25">
      <c r="B5" s="5" t="s">
        <v>3</v>
      </c>
      <c r="C5" s="5"/>
      <c r="D5" s="5" t="s">
        <v>4</v>
      </c>
      <c r="E5" s="14" t="s">
        <v>47</v>
      </c>
      <c r="G5" s="9"/>
      <c r="H5" s="11"/>
    </row>
    <row r="6" spans="1:12" x14ac:dyDescent="0.25">
      <c r="B6" s="1" t="s">
        <v>87</v>
      </c>
      <c r="C6" s="1"/>
      <c r="D6" s="1" t="s">
        <v>91</v>
      </c>
      <c r="E6" s="1"/>
      <c r="G6" s="9"/>
      <c r="H6" s="11"/>
      <c r="J6" s="9">
        <f t="shared" ref="J6:J23" si="0">SUM(F6:I6)</f>
        <v>0</v>
      </c>
      <c r="L6" s="9">
        <f t="shared" ref="L6:L21" si="1">+F6+H6+I6+K6</f>
        <v>0</v>
      </c>
    </row>
    <row r="7" spans="1:12" x14ac:dyDescent="0.25">
      <c r="B7" s="1" t="s">
        <v>88</v>
      </c>
      <c r="C7" s="1"/>
      <c r="D7" s="1" t="s">
        <v>92</v>
      </c>
      <c r="E7" s="1"/>
      <c r="G7" s="9"/>
      <c r="H7" s="11"/>
      <c r="J7" s="9">
        <f t="shared" si="0"/>
        <v>0</v>
      </c>
      <c r="L7" s="9">
        <f t="shared" si="1"/>
        <v>0</v>
      </c>
    </row>
    <row r="8" spans="1:12" x14ac:dyDescent="0.25">
      <c r="B8" s="2" t="s">
        <v>89</v>
      </c>
      <c r="C8" s="2"/>
      <c r="D8" s="2" t="s">
        <v>93</v>
      </c>
      <c r="E8" s="2"/>
      <c r="G8" s="9"/>
      <c r="H8" s="11"/>
      <c r="J8" s="9">
        <f t="shared" si="0"/>
        <v>0</v>
      </c>
      <c r="L8" s="9">
        <f t="shared" si="1"/>
        <v>0</v>
      </c>
    </row>
    <row r="9" spans="1:12" x14ac:dyDescent="0.25">
      <c r="B9" s="2" t="s">
        <v>120</v>
      </c>
      <c r="C9" s="2"/>
      <c r="D9" s="2" t="s">
        <v>94</v>
      </c>
      <c r="E9" s="2"/>
      <c r="G9" s="9"/>
      <c r="H9" s="11"/>
      <c r="J9" s="9">
        <f t="shared" si="0"/>
        <v>0</v>
      </c>
      <c r="L9" s="9">
        <f t="shared" si="1"/>
        <v>0</v>
      </c>
    </row>
    <row r="10" spans="1:12" ht="27" x14ac:dyDescent="0.25">
      <c r="B10" s="2" t="s">
        <v>130</v>
      </c>
      <c r="C10" s="2"/>
      <c r="D10" s="2" t="s">
        <v>95</v>
      </c>
      <c r="E10" s="1" t="s">
        <v>109</v>
      </c>
      <c r="G10" s="9"/>
      <c r="H10" s="11"/>
      <c r="J10" s="9">
        <f t="shared" si="0"/>
        <v>0</v>
      </c>
      <c r="L10" s="9">
        <f t="shared" si="1"/>
        <v>0</v>
      </c>
    </row>
    <row r="11" spans="1:12" x14ac:dyDescent="0.25">
      <c r="B11" s="1" t="s">
        <v>113</v>
      </c>
      <c r="C11" s="1"/>
      <c r="D11" s="1" t="s">
        <v>92</v>
      </c>
      <c r="E11" s="1"/>
      <c r="G11" s="9"/>
      <c r="H11" s="11"/>
      <c r="J11" s="9">
        <f t="shared" si="0"/>
        <v>0</v>
      </c>
      <c r="L11" s="9">
        <f t="shared" si="1"/>
        <v>0</v>
      </c>
    </row>
    <row r="12" spans="1:12" x14ac:dyDescent="0.25">
      <c r="B12" s="2" t="s">
        <v>112</v>
      </c>
      <c r="C12" s="2"/>
      <c r="D12" s="2" t="s">
        <v>96</v>
      </c>
      <c r="E12" s="2"/>
      <c r="G12" s="9"/>
      <c r="H12" s="11"/>
      <c r="J12" s="9">
        <f t="shared" si="0"/>
        <v>0</v>
      </c>
      <c r="L12" s="9">
        <f t="shared" si="1"/>
        <v>0</v>
      </c>
    </row>
    <row r="13" spans="1:12" x14ac:dyDescent="0.25">
      <c r="B13" s="3" t="s">
        <v>121</v>
      </c>
      <c r="C13" s="3"/>
      <c r="D13" s="3" t="s">
        <v>97</v>
      </c>
      <c r="E13" s="3"/>
      <c r="G13" s="9"/>
      <c r="H13" s="11"/>
      <c r="J13" s="9">
        <f t="shared" si="0"/>
        <v>0</v>
      </c>
      <c r="L13" s="9">
        <f t="shared" si="1"/>
        <v>0</v>
      </c>
    </row>
    <row r="14" spans="1:12" x14ac:dyDescent="0.25">
      <c r="B14" s="4" t="s">
        <v>146</v>
      </c>
      <c r="C14" s="4"/>
      <c r="D14" s="3" t="s">
        <v>97</v>
      </c>
      <c r="E14" s="4"/>
      <c r="G14" s="9"/>
      <c r="H14" s="11"/>
      <c r="J14" s="9">
        <f t="shared" si="0"/>
        <v>0</v>
      </c>
      <c r="L14" s="9">
        <f t="shared" si="1"/>
        <v>0</v>
      </c>
    </row>
    <row r="15" spans="1:12" x14ac:dyDescent="0.25">
      <c r="B15" s="3" t="s">
        <v>122</v>
      </c>
      <c r="C15" s="3"/>
      <c r="D15" s="3" t="s">
        <v>98</v>
      </c>
      <c r="E15" s="3"/>
      <c r="G15" s="9">
        <v>1</v>
      </c>
      <c r="H15" s="11"/>
      <c r="J15" s="9">
        <f t="shared" si="0"/>
        <v>1</v>
      </c>
      <c r="L15" s="9">
        <f t="shared" si="1"/>
        <v>0</v>
      </c>
    </row>
    <row r="16" spans="1:12" x14ac:dyDescent="0.25">
      <c r="B16" s="1" t="s">
        <v>123</v>
      </c>
      <c r="C16" s="1"/>
      <c r="D16" s="1" t="s">
        <v>99</v>
      </c>
      <c r="E16" s="1" t="s">
        <v>105</v>
      </c>
      <c r="G16" s="9">
        <v>2</v>
      </c>
      <c r="H16" s="11"/>
      <c r="J16" s="9">
        <f t="shared" si="0"/>
        <v>2</v>
      </c>
      <c r="K16" s="9">
        <v>2</v>
      </c>
      <c r="L16" s="9">
        <f t="shared" si="1"/>
        <v>2</v>
      </c>
    </row>
    <row r="17" spans="2:15" x14ac:dyDescent="0.25">
      <c r="B17" s="1" t="s">
        <v>123</v>
      </c>
      <c r="C17" s="1"/>
      <c r="D17" s="1" t="s">
        <v>100</v>
      </c>
      <c r="E17" s="1" t="s">
        <v>39</v>
      </c>
      <c r="G17" s="9">
        <v>1</v>
      </c>
      <c r="H17" s="11"/>
      <c r="J17" s="9">
        <f t="shared" si="0"/>
        <v>1</v>
      </c>
      <c r="L17" s="9">
        <f t="shared" si="1"/>
        <v>0</v>
      </c>
    </row>
    <row r="18" spans="2:15" x14ac:dyDescent="0.25">
      <c r="B18" s="1" t="s">
        <v>123</v>
      </c>
      <c r="C18" s="1"/>
      <c r="D18" s="1" t="s">
        <v>101</v>
      </c>
      <c r="E18" s="1" t="s">
        <v>106</v>
      </c>
      <c r="G18" s="9"/>
      <c r="H18" s="11"/>
      <c r="J18" s="9">
        <f t="shared" si="0"/>
        <v>0</v>
      </c>
      <c r="K18" s="9">
        <v>1</v>
      </c>
      <c r="L18" s="9">
        <f t="shared" si="1"/>
        <v>1</v>
      </c>
    </row>
    <row r="19" spans="2:15" x14ac:dyDescent="0.25">
      <c r="B19" s="1" t="s">
        <v>123</v>
      </c>
      <c r="C19" s="1"/>
      <c r="D19" s="1" t="s">
        <v>102</v>
      </c>
      <c r="E19" s="1" t="s">
        <v>107</v>
      </c>
      <c r="G19" s="9"/>
      <c r="H19" s="11"/>
      <c r="J19" s="9">
        <f t="shared" si="0"/>
        <v>0</v>
      </c>
      <c r="K19" s="9">
        <v>1</v>
      </c>
      <c r="L19" s="9">
        <f t="shared" si="1"/>
        <v>1</v>
      </c>
    </row>
    <row r="20" spans="2:15" x14ac:dyDescent="0.25">
      <c r="B20" s="1" t="s">
        <v>123</v>
      </c>
      <c r="C20" s="1"/>
      <c r="D20" s="1" t="s">
        <v>103</v>
      </c>
      <c r="E20" s="1" t="s">
        <v>108</v>
      </c>
      <c r="G20" s="9"/>
      <c r="H20" s="11"/>
      <c r="J20" s="9">
        <f t="shared" si="0"/>
        <v>0</v>
      </c>
      <c r="K20" s="9">
        <v>1</v>
      </c>
      <c r="L20" s="9">
        <f t="shared" si="1"/>
        <v>1</v>
      </c>
    </row>
    <row r="21" spans="2:15" x14ac:dyDescent="0.25">
      <c r="B21" s="2" t="s">
        <v>90</v>
      </c>
      <c r="C21" s="2"/>
      <c r="D21" s="2" t="s">
        <v>104</v>
      </c>
      <c r="E21" s="1" t="s">
        <v>106</v>
      </c>
      <c r="G21" s="9"/>
      <c r="H21" s="12"/>
      <c r="I21" s="13"/>
      <c r="J21" s="13">
        <f t="shared" si="0"/>
        <v>0</v>
      </c>
      <c r="L21" s="13">
        <f t="shared" si="1"/>
        <v>0</v>
      </c>
    </row>
    <row r="22" spans="2:15" x14ac:dyDescent="0.25">
      <c r="B22" s="8" t="s">
        <v>147</v>
      </c>
      <c r="C22" s="8"/>
      <c r="D22" s="6"/>
      <c r="E22" s="6"/>
      <c r="F22" s="15">
        <f>SUM(F6:F21)</f>
        <v>0</v>
      </c>
      <c r="G22" s="15">
        <f>SUM(G6:G21)</f>
        <v>4</v>
      </c>
      <c r="H22" s="15">
        <f>SUM(H6:H21)</f>
        <v>0</v>
      </c>
      <c r="I22" s="15">
        <f>SUM(I6:I21)</f>
        <v>0</v>
      </c>
      <c r="J22" s="9">
        <f t="shared" si="0"/>
        <v>4</v>
      </c>
      <c r="K22" s="15">
        <f>SUM(K6:K21)</f>
        <v>5</v>
      </c>
      <c r="L22" s="15">
        <f>SUM(L6:L21)</f>
        <v>5</v>
      </c>
    </row>
    <row r="23" spans="2:15" x14ac:dyDescent="0.25">
      <c r="B23" s="8" t="s">
        <v>128</v>
      </c>
      <c r="C23" s="8"/>
      <c r="D23" s="6"/>
      <c r="E23" s="6"/>
      <c r="F23" s="16"/>
      <c r="G23" s="16"/>
      <c r="H23" s="16"/>
      <c r="I23" s="16"/>
      <c r="J23" s="9">
        <f t="shared" si="0"/>
        <v>0</v>
      </c>
      <c r="L23" s="9">
        <f>+F23+H23+I23+K23</f>
        <v>0</v>
      </c>
    </row>
    <row r="24" spans="2:15" x14ac:dyDescent="0.25">
      <c r="B24" s="8"/>
      <c r="C24" s="8"/>
      <c r="D24" s="6"/>
      <c r="E24" s="6"/>
      <c r="F24" s="16"/>
      <c r="G24" s="16"/>
      <c r="H24" s="16"/>
      <c r="I24" s="16"/>
    </row>
    <row r="25" spans="2:15" ht="47.25" x14ac:dyDescent="0.25">
      <c r="B25" s="5" t="s">
        <v>289</v>
      </c>
      <c r="C25" s="5"/>
      <c r="D25" s="6"/>
      <c r="E25" s="6"/>
      <c r="F25" s="29" t="s">
        <v>164</v>
      </c>
      <c r="G25" s="29" t="s">
        <v>166</v>
      </c>
      <c r="H25" s="29" t="s">
        <v>179</v>
      </c>
      <c r="I25" s="29" t="s">
        <v>149</v>
      </c>
      <c r="J25" s="29" t="s">
        <v>167</v>
      </c>
      <c r="K25" s="7" t="s">
        <v>177</v>
      </c>
      <c r="L25" s="29" t="s">
        <v>165</v>
      </c>
      <c r="M25" s="134" t="s">
        <v>272</v>
      </c>
      <c r="N25" s="29" t="s">
        <v>168</v>
      </c>
      <c r="O25" s="7" t="s">
        <v>177</v>
      </c>
    </row>
    <row r="26" spans="2:15" ht="20.25" x14ac:dyDescent="0.25">
      <c r="B26" s="5"/>
      <c r="C26" s="5"/>
      <c r="D26" s="6"/>
      <c r="E26" s="207" t="s">
        <v>286</v>
      </c>
      <c r="F26" s="208" t="s">
        <v>197</v>
      </c>
      <c r="G26" s="208" t="s">
        <v>197</v>
      </c>
      <c r="H26" s="208" t="s">
        <v>197</v>
      </c>
      <c r="I26" s="209" t="s">
        <v>197</v>
      </c>
      <c r="J26" s="29"/>
      <c r="K26" s="7"/>
      <c r="L26" s="210" t="s">
        <v>197</v>
      </c>
      <c r="M26" s="134"/>
      <c r="N26" s="29"/>
      <c r="O26" s="7"/>
    </row>
    <row r="27" spans="2:15" x14ac:dyDescent="0.25">
      <c r="B27" s="6" t="s">
        <v>24</v>
      </c>
      <c r="D27" s="6" t="s">
        <v>5</v>
      </c>
      <c r="E27" s="6" t="s">
        <v>284</v>
      </c>
      <c r="F27" s="9">
        <f>IF(F26=0,0,'Hoard matrices'!E85-F28)</f>
        <v>23</v>
      </c>
      <c r="G27" s="9">
        <f>IF(G26=0,0,'Hoard matrices'!E129-G28)</f>
        <v>24</v>
      </c>
      <c r="H27" s="9">
        <f>IF(H26=0,0,'Hoard matrices'!E173-H28)</f>
        <v>15</v>
      </c>
      <c r="I27" s="9">
        <f>IF(I26=0,0,'Hoard matrices'!E217-I28)</f>
        <v>26</v>
      </c>
      <c r="J27" s="9">
        <f t="shared" ref="J27:J41" si="2">SUM(F27:I27)</f>
        <v>88</v>
      </c>
      <c r="K27" s="47">
        <f t="shared" ref="K27:K41" si="3">+J27/J$41</f>
        <v>2.2506393861892585E-2</v>
      </c>
      <c r="L27" s="9">
        <f>IF(L26=0,0,'Hoard matrices'!Q129-L28)</f>
        <v>153</v>
      </c>
      <c r="M27" s="47">
        <f t="shared" ref="M27:M41" si="4">+L27/L$41</f>
        <v>0.15612244897959185</v>
      </c>
      <c r="N27" s="9">
        <f t="shared" ref="N27:N40" si="5">+F27+H27+I27+L27</f>
        <v>217</v>
      </c>
      <c r="O27" s="47">
        <f t="shared" ref="O27:O41" si="6">+N27/N$41</f>
        <v>4.5838614279678919E-2</v>
      </c>
    </row>
    <row r="28" spans="2:15" x14ac:dyDescent="0.25">
      <c r="D28" s="6"/>
      <c r="E28" s="6" t="s">
        <v>285</v>
      </c>
      <c r="F28" s="9">
        <f>IF(F26=0,0,SUM('Hoard matrices'!E59:E84))</f>
        <v>306</v>
      </c>
      <c r="G28" s="9">
        <f>IF(G26=0,0,SUM('Hoard matrices'!E103:E128))</f>
        <v>34</v>
      </c>
      <c r="H28" s="9">
        <f>IF(H26=0,0,SUM('Hoard matrices'!E147:E172))</f>
        <v>196</v>
      </c>
      <c r="I28" s="9">
        <f>IF(I26=0,0,SUM('Hoard matrices'!E191:E216))</f>
        <v>0</v>
      </c>
      <c r="J28" s="9">
        <f t="shared" si="2"/>
        <v>536</v>
      </c>
      <c r="K28" s="47">
        <f t="shared" si="3"/>
        <v>0.1370843989769821</v>
      </c>
      <c r="L28" s="9">
        <f>IF(L26=0,0,SUM('Hoard matrices'!Q103:Q128))</f>
        <v>177</v>
      </c>
      <c r="M28" s="47">
        <f t="shared" si="4"/>
        <v>0.18061224489795918</v>
      </c>
      <c r="N28" s="9">
        <f t="shared" si="5"/>
        <v>679</v>
      </c>
      <c r="O28" s="47">
        <f t="shared" si="6"/>
        <v>0.14343050274609209</v>
      </c>
    </row>
    <row r="29" spans="2:15" x14ac:dyDescent="0.25">
      <c r="B29" s="6" t="s">
        <v>137</v>
      </c>
      <c r="D29" s="6" t="s">
        <v>114</v>
      </c>
      <c r="E29" s="6"/>
      <c r="F29" s="9">
        <f>IF(F26=0,0,'Hoard matrices'!F85)</f>
        <v>742</v>
      </c>
      <c r="G29" s="9">
        <f>IF(G26=0,0,'Hoard matrices'!F129)</f>
        <v>84</v>
      </c>
      <c r="H29" s="9">
        <f>IF(H26=0,0,'Hoard matrices'!F173)</f>
        <v>875</v>
      </c>
      <c r="I29" s="9">
        <f>IF(I26=0,0,'Hoard matrices'!F217)</f>
        <v>0</v>
      </c>
      <c r="J29" s="9">
        <f t="shared" si="2"/>
        <v>1701</v>
      </c>
      <c r="K29" s="47">
        <f t="shared" si="3"/>
        <v>0.43503836317135552</v>
      </c>
      <c r="L29" s="9">
        <f>IF(L26=0,0,'Hoard matrices'!R129)</f>
        <v>384</v>
      </c>
      <c r="M29" s="47">
        <f t="shared" si="4"/>
        <v>0.39183673469387753</v>
      </c>
      <c r="N29" s="9">
        <f t="shared" si="5"/>
        <v>2001</v>
      </c>
      <c r="O29" s="47">
        <f t="shared" si="6"/>
        <v>0.42268694550063374</v>
      </c>
    </row>
    <row r="30" spans="2:15" x14ac:dyDescent="0.25">
      <c r="B30" s="6" t="s">
        <v>138</v>
      </c>
      <c r="D30" s="6" t="s">
        <v>6</v>
      </c>
      <c r="E30" s="6"/>
      <c r="F30" s="9">
        <f>IF(F26=0,0,'Hoard matrices'!G85)</f>
        <v>29</v>
      </c>
      <c r="G30" s="9">
        <f>IF(G26=0,0,'Hoard matrices'!G129)</f>
        <v>7</v>
      </c>
      <c r="H30" s="9">
        <f>IF(H26=0,0,'Hoard matrices'!G173)</f>
        <v>31</v>
      </c>
      <c r="I30" s="9">
        <f>IF(I26=0,0,'Hoard matrices'!G217)</f>
        <v>0</v>
      </c>
      <c r="J30" s="9">
        <f t="shared" si="2"/>
        <v>67</v>
      </c>
      <c r="K30" s="47">
        <f t="shared" si="3"/>
        <v>1.7135549872122763E-2</v>
      </c>
      <c r="L30" s="9">
        <f>IF(L26=0,0,'Hoard matrices'!S129)</f>
        <v>37</v>
      </c>
      <c r="M30" s="47">
        <f t="shared" si="4"/>
        <v>3.7755102040816328E-2</v>
      </c>
      <c r="N30" s="9">
        <f t="shared" si="5"/>
        <v>97</v>
      </c>
      <c r="O30" s="47">
        <f t="shared" si="6"/>
        <v>2.0490071820870301E-2</v>
      </c>
    </row>
    <row r="31" spans="2:15" x14ac:dyDescent="0.25">
      <c r="B31" s="6" t="s">
        <v>137</v>
      </c>
      <c r="D31" s="6" t="s">
        <v>115</v>
      </c>
      <c r="E31" s="6"/>
      <c r="F31" s="9">
        <f>IF(F26=0,0,'Hoard matrices'!H85)</f>
        <v>195</v>
      </c>
      <c r="G31" s="9">
        <f>IF(G26=0,0,'Hoard matrices'!H129)</f>
        <v>0</v>
      </c>
      <c r="H31" s="9">
        <f>IF(H26=0,0,'Hoard matrices'!H173)</f>
        <v>245</v>
      </c>
      <c r="I31" s="9">
        <f>IF(I26=0,0,'Hoard matrices'!H217)</f>
        <v>0</v>
      </c>
      <c r="J31" s="9">
        <f t="shared" si="2"/>
        <v>440</v>
      </c>
      <c r="K31" s="47">
        <f t="shared" si="3"/>
        <v>0.11253196930946291</v>
      </c>
      <c r="L31" s="9">
        <f>IF(L26=0,0,'Hoard matrices'!T129)</f>
        <v>9</v>
      </c>
      <c r="M31" s="47">
        <f t="shared" si="4"/>
        <v>9.1836734693877559E-3</v>
      </c>
      <c r="N31" s="9">
        <f t="shared" si="5"/>
        <v>449</v>
      </c>
      <c r="O31" s="47">
        <f t="shared" si="6"/>
        <v>9.4845796366708909E-2</v>
      </c>
    </row>
    <row r="32" spans="2:15" x14ac:dyDescent="0.25">
      <c r="B32" s="6" t="s">
        <v>139</v>
      </c>
      <c r="D32" s="6" t="s">
        <v>7</v>
      </c>
      <c r="E32" s="6"/>
      <c r="F32" s="9">
        <f>IF(F26=0,0,'Hoard matrices'!I85)</f>
        <v>52</v>
      </c>
      <c r="G32" s="9">
        <f>IF(G26=0,0,'Hoard matrices'!I129)</f>
        <v>0</v>
      </c>
      <c r="H32" s="9">
        <f>IF(H26=0,0,'Hoard matrices'!I173)</f>
        <v>59</v>
      </c>
      <c r="I32" s="9">
        <f>IF(I26=0,0,'Hoard matrices'!I217)</f>
        <v>0</v>
      </c>
      <c r="J32" s="9">
        <f t="shared" si="2"/>
        <v>111</v>
      </c>
      <c r="K32" s="47">
        <f t="shared" si="3"/>
        <v>2.8388746803069055E-2</v>
      </c>
      <c r="L32" s="9">
        <f>IF(L26=0,0,'Hoard matrices'!U129)</f>
        <v>0</v>
      </c>
      <c r="M32" s="47">
        <f t="shared" si="4"/>
        <v>0</v>
      </c>
      <c r="N32" s="9">
        <f t="shared" si="5"/>
        <v>111</v>
      </c>
      <c r="O32" s="47">
        <f t="shared" si="6"/>
        <v>2.3447401774397972E-2</v>
      </c>
    </row>
    <row r="33" spans="2:15" x14ac:dyDescent="0.25">
      <c r="B33" s="6" t="s">
        <v>140</v>
      </c>
      <c r="D33" s="6" t="s">
        <v>8</v>
      </c>
      <c r="E33" s="6" t="s">
        <v>284</v>
      </c>
      <c r="F33" s="9">
        <f>IF(F26=0,0,'Hoard matrices'!J85-F34)</f>
        <v>0</v>
      </c>
      <c r="G33" s="9">
        <f>IF(G26=0,0,'Hoard matrices'!J129-G34)</f>
        <v>1</v>
      </c>
      <c r="H33" s="9">
        <f>IF(H26=0,0,'Hoard matrices'!J173-H34)</f>
        <v>3</v>
      </c>
      <c r="I33" s="9">
        <f>IF(I26=0,0,'Hoard matrices'!J217-I34)</f>
        <v>2</v>
      </c>
      <c r="J33" s="9">
        <f t="shared" si="2"/>
        <v>6</v>
      </c>
      <c r="K33" s="47">
        <f t="shared" si="3"/>
        <v>1.5345268542199489E-3</v>
      </c>
      <c r="L33" s="9">
        <f>IF(L26=0,0,'Hoard matrices'!V129)</f>
        <v>64</v>
      </c>
      <c r="M33" s="47">
        <f t="shared" si="4"/>
        <v>6.5306122448979598E-2</v>
      </c>
      <c r="N33" s="9">
        <f t="shared" si="5"/>
        <v>69</v>
      </c>
      <c r="O33" s="47">
        <f t="shared" si="6"/>
        <v>1.4575411913814956E-2</v>
      </c>
    </row>
    <row r="34" spans="2:15" x14ac:dyDescent="0.25">
      <c r="D34" s="6"/>
      <c r="E34" s="6" t="s">
        <v>285</v>
      </c>
      <c r="F34" s="9">
        <f>IF(F26=0,0,SUM('Hoard matrices'!J59:J84))</f>
        <v>2</v>
      </c>
      <c r="G34" s="9">
        <f>IF(G26=0,0,SUM('Hoard matrices'!J103:J128))</f>
        <v>0</v>
      </c>
      <c r="H34" s="9">
        <f>IF(H26=0,0,SUM('Hoard matrices'!J147:J172))</f>
        <v>2</v>
      </c>
      <c r="I34" s="9">
        <f>IF(I26=0,0,SUM('Hoard matrices'!J191:J216))</f>
        <v>2</v>
      </c>
      <c r="J34" s="9">
        <f t="shared" si="2"/>
        <v>6</v>
      </c>
      <c r="K34" s="47">
        <f t="shared" si="3"/>
        <v>1.5345268542199489E-3</v>
      </c>
      <c r="L34" s="9">
        <f>IF(L26=0,0,SUM('Hoard matrices'!V103:V128))</f>
        <v>43</v>
      </c>
      <c r="M34" s="47">
        <f t="shared" si="4"/>
        <v>4.3877551020408162E-2</v>
      </c>
      <c r="N34" s="9">
        <f t="shared" si="5"/>
        <v>49</v>
      </c>
      <c r="O34" s="47">
        <f t="shared" si="6"/>
        <v>1.0350654837346852E-2</v>
      </c>
    </row>
    <row r="35" spans="2:15" x14ac:dyDescent="0.25">
      <c r="B35" s="6" t="s">
        <v>141</v>
      </c>
      <c r="D35" s="6" t="s">
        <v>9</v>
      </c>
      <c r="E35" s="6"/>
      <c r="F35" s="9">
        <f>IF(F26=0,0,'Hoard matrices'!K85)</f>
        <v>64</v>
      </c>
      <c r="G35" s="9">
        <f>IF(G26=0,0,'Hoard matrices'!K129)</f>
        <v>5</v>
      </c>
      <c r="H35" s="9">
        <f>IF(H26=0,0,'Hoard matrices'!K173)</f>
        <v>102</v>
      </c>
      <c r="I35" s="9">
        <f>IF(I26=0,0,'Hoard matrices'!K217)</f>
        <v>0</v>
      </c>
      <c r="J35" s="9">
        <f t="shared" si="2"/>
        <v>171</v>
      </c>
      <c r="K35" s="47">
        <f t="shared" si="3"/>
        <v>4.3734015345268544E-2</v>
      </c>
      <c r="L35" s="9">
        <f>IF(L26=0,0,'Hoard matrices'!W129)</f>
        <v>80</v>
      </c>
      <c r="M35" s="47">
        <f t="shared" si="4"/>
        <v>8.1632653061224483E-2</v>
      </c>
      <c r="N35" s="9">
        <f t="shared" si="5"/>
        <v>246</v>
      </c>
      <c r="O35" s="47">
        <f t="shared" si="6"/>
        <v>5.1964512040557666E-2</v>
      </c>
    </row>
    <row r="36" spans="2:15" x14ac:dyDescent="0.25">
      <c r="B36" s="6" t="s">
        <v>142</v>
      </c>
      <c r="D36" s="6" t="s">
        <v>10</v>
      </c>
      <c r="E36" s="6"/>
      <c r="F36" s="13">
        <f>IF(F26=0,0,'Hoard matrices'!L85)</f>
        <v>13</v>
      </c>
      <c r="G36" s="13">
        <f>IF(G26=0,0,'Hoard matrices'!L129)</f>
        <v>0</v>
      </c>
      <c r="H36" s="13">
        <f>IF(H26=0,0,'Hoard matrices'!L173)</f>
        <v>0</v>
      </c>
      <c r="I36" s="13">
        <f>IF(I26=0,0,'Hoard matrices'!L217)</f>
        <v>0</v>
      </c>
      <c r="J36" s="13">
        <f t="shared" si="2"/>
        <v>13</v>
      </c>
      <c r="K36" s="49">
        <f t="shared" si="3"/>
        <v>3.3248081841432226E-3</v>
      </c>
      <c r="L36" s="13">
        <f>IF(L26=0,0,'Hoard matrices'!X129)</f>
        <v>0</v>
      </c>
      <c r="M36" s="49">
        <f t="shared" si="4"/>
        <v>0</v>
      </c>
      <c r="N36" s="13">
        <f t="shared" si="5"/>
        <v>13</v>
      </c>
      <c r="O36" s="49">
        <f t="shared" si="6"/>
        <v>2.7460920997042669E-3</v>
      </c>
    </row>
    <row r="37" spans="2:15" x14ac:dyDescent="0.25">
      <c r="B37" s="8" t="s">
        <v>119</v>
      </c>
      <c r="C37" s="8"/>
      <c r="D37" s="6"/>
      <c r="E37" s="6"/>
      <c r="F37" s="9">
        <f>SUM(F27:F36)</f>
        <v>1426</v>
      </c>
      <c r="G37" s="9">
        <f>SUM(G27:G36)</f>
        <v>155</v>
      </c>
      <c r="H37" s="9">
        <f>SUM(H27:H36)</f>
        <v>1528</v>
      </c>
      <c r="I37" s="9">
        <f>SUM(I27:I36)</f>
        <v>30</v>
      </c>
      <c r="J37" s="9">
        <f t="shared" si="2"/>
        <v>3139</v>
      </c>
      <c r="K37" s="47">
        <f t="shared" si="3"/>
        <v>0.80281329923273659</v>
      </c>
      <c r="L37" s="9">
        <f>SUM(L27:L36)</f>
        <v>947</v>
      </c>
      <c r="M37" s="47">
        <f t="shared" si="4"/>
        <v>0.96632653061224494</v>
      </c>
      <c r="N37" s="9">
        <f t="shared" si="5"/>
        <v>3931</v>
      </c>
      <c r="O37" s="47">
        <f t="shared" si="6"/>
        <v>0.83037600337980566</v>
      </c>
    </row>
    <row r="38" spans="2:15" x14ac:dyDescent="0.25">
      <c r="B38" s="6" t="s">
        <v>131</v>
      </c>
      <c r="D38" s="6"/>
      <c r="E38" s="6"/>
      <c r="F38" s="16">
        <f>IF(F26=0,0,407)</f>
        <v>407</v>
      </c>
      <c r="G38" s="9">
        <f>IF(G26=0,0,1)</f>
        <v>1</v>
      </c>
      <c r="H38" s="9">
        <f>IF(H26=0,0,363)</f>
        <v>363</v>
      </c>
      <c r="J38" s="9">
        <f t="shared" si="2"/>
        <v>771</v>
      </c>
      <c r="K38" s="47">
        <f t="shared" si="3"/>
        <v>0.19718670076726344</v>
      </c>
      <c r="L38" s="9">
        <f>IF(L26=0,0,33)</f>
        <v>33</v>
      </c>
      <c r="M38" s="47">
        <f t="shared" si="4"/>
        <v>3.3673469387755103E-2</v>
      </c>
      <c r="N38" s="9">
        <f t="shared" si="5"/>
        <v>803</v>
      </c>
      <c r="O38" s="47">
        <f t="shared" si="6"/>
        <v>0.16962399662019434</v>
      </c>
    </row>
    <row r="39" spans="2:15" x14ac:dyDescent="0.25">
      <c r="B39" s="6" t="s">
        <v>110</v>
      </c>
      <c r="D39" s="6"/>
      <c r="E39" s="6"/>
      <c r="F39" s="16"/>
      <c r="G39" s="9"/>
      <c r="J39" s="9">
        <f t="shared" si="2"/>
        <v>0</v>
      </c>
      <c r="K39" s="47">
        <f t="shared" si="3"/>
        <v>0</v>
      </c>
      <c r="M39" s="47">
        <f t="shared" si="4"/>
        <v>0</v>
      </c>
      <c r="N39" s="9">
        <f t="shared" si="5"/>
        <v>0</v>
      </c>
      <c r="O39" s="47">
        <f t="shared" si="6"/>
        <v>0</v>
      </c>
    </row>
    <row r="40" spans="2:15" x14ac:dyDescent="0.25">
      <c r="B40" s="6" t="s">
        <v>111</v>
      </c>
      <c r="D40" s="6"/>
      <c r="E40" s="6"/>
      <c r="G40" s="9"/>
      <c r="J40" s="9">
        <f t="shared" si="2"/>
        <v>0</v>
      </c>
      <c r="K40" s="49">
        <f t="shared" si="3"/>
        <v>0</v>
      </c>
      <c r="M40" s="49">
        <f t="shared" si="4"/>
        <v>0</v>
      </c>
      <c r="N40" s="9">
        <f t="shared" si="5"/>
        <v>0</v>
      </c>
      <c r="O40" s="49">
        <f t="shared" si="6"/>
        <v>0</v>
      </c>
    </row>
    <row r="41" spans="2:15" x14ac:dyDescent="0.25">
      <c r="B41" s="8" t="s">
        <v>117</v>
      </c>
      <c r="C41" s="8"/>
      <c r="D41" s="6"/>
      <c r="E41" s="6"/>
      <c r="F41" s="15">
        <f>SUM(F37:F40)</f>
        <v>1833</v>
      </c>
      <c r="G41" s="15">
        <f>SUM(G37:G40)</f>
        <v>156</v>
      </c>
      <c r="H41" s="15">
        <f>SUM(H37:H40)</f>
        <v>1891</v>
      </c>
      <c r="I41" s="15">
        <f>SUM(I37:I40)</f>
        <v>30</v>
      </c>
      <c r="J41" s="15">
        <f t="shared" si="2"/>
        <v>3910</v>
      </c>
      <c r="K41" s="50">
        <f t="shared" si="3"/>
        <v>1</v>
      </c>
      <c r="L41" s="15">
        <f>SUM(L37:L40)</f>
        <v>980</v>
      </c>
      <c r="M41" s="47">
        <f t="shared" si="4"/>
        <v>1</v>
      </c>
      <c r="N41" s="15">
        <f>SUM(N37:N40)</f>
        <v>4734</v>
      </c>
      <c r="O41" s="50">
        <f t="shared" si="6"/>
        <v>1</v>
      </c>
    </row>
    <row r="42" spans="2:15" ht="16.5" thickBot="1" x14ac:dyDescent="0.3">
      <c r="B42" s="8" t="s">
        <v>129</v>
      </c>
      <c r="C42" s="8"/>
      <c r="D42" s="6"/>
      <c r="E42" s="6"/>
      <c r="F42" s="17">
        <f>+F41+F22+F23</f>
        <v>1833</v>
      </c>
      <c r="G42" s="17">
        <f>+G41+G22+G23</f>
        <v>160</v>
      </c>
      <c r="H42" s="17">
        <f>+H41+H22+H23</f>
        <v>1891</v>
      </c>
      <c r="I42" s="17">
        <f>+I41+I22+I23</f>
        <v>30</v>
      </c>
      <c r="J42" s="17">
        <f>+J41+J22+J23</f>
        <v>3914</v>
      </c>
      <c r="L42" s="17">
        <f>+L41+K22+K23</f>
        <v>985</v>
      </c>
      <c r="M42" s="133"/>
      <c r="N42" s="17">
        <f>+N41+L22+L23</f>
        <v>4739</v>
      </c>
    </row>
    <row r="43" spans="2:15" ht="15" customHeight="1" thickTop="1" x14ac:dyDescent="0.25">
      <c r="B43" s="8"/>
      <c r="C43" s="8"/>
      <c r="D43" s="6"/>
      <c r="E43" s="6"/>
      <c r="F43" s="16"/>
      <c r="G43" s="16"/>
      <c r="H43" s="16"/>
      <c r="I43" s="16"/>
    </row>
    <row r="44" spans="2:15" x14ac:dyDescent="0.25">
      <c r="B44" s="74" t="s">
        <v>183</v>
      </c>
      <c r="C44" s="74"/>
      <c r="D44" s="65"/>
      <c r="E44" s="65"/>
      <c r="F44" s="66"/>
      <c r="G44" s="66"/>
      <c r="H44" s="66"/>
      <c r="I44" s="66"/>
      <c r="J44" s="66"/>
      <c r="K44" s="67"/>
      <c r="L44" s="66"/>
      <c r="M44" s="16"/>
    </row>
    <row r="45" spans="2:15" x14ac:dyDescent="0.25">
      <c r="B45" s="68" t="s">
        <v>173</v>
      </c>
      <c r="C45" s="68"/>
      <c r="D45" s="65"/>
      <c r="E45" s="67"/>
      <c r="F45" s="69">
        <v>0.93857000000000002</v>
      </c>
      <c r="G45" s="70">
        <v>0.92876999999999998</v>
      </c>
      <c r="H45" s="71">
        <v>0.92330999999999996</v>
      </c>
      <c r="I45" s="67"/>
      <c r="J45" s="71">
        <v>0.95491999999999999</v>
      </c>
      <c r="K45" s="67"/>
      <c r="L45" s="71">
        <v>0.60987000000000002</v>
      </c>
      <c r="M45" s="46"/>
    </row>
    <row r="46" spans="2:15" x14ac:dyDescent="0.25">
      <c r="B46" s="68" t="s">
        <v>181</v>
      </c>
      <c r="C46" s="68"/>
      <c r="D46" s="65"/>
      <c r="E46" s="67"/>
      <c r="F46" s="67"/>
      <c r="G46" s="69">
        <v>0.88114000000000003</v>
      </c>
      <c r="H46" s="71">
        <v>0.95404999999999995</v>
      </c>
      <c r="I46" s="67"/>
      <c r="J46" s="71"/>
      <c r="K46" s="67"/>
      <c r="L46" s="71">
        <v>0.58977999999999997</v>
      </c>
      <c r="M46" s="46"/>
    </row>
    <row r="47" spans="2:15" x14ac:dyDescent="0.25">
      <c r="B47" s="68" t="s">
        <v>182</v>
      </c>
      <c r="C47" s="68"/>
      <c r="D47" s="65"/>
      <c r="E47" s="67"/>
      <c r="F47" s="67"/>
      <c r="G47" s="69">
        <v>0.93230999999999997</v>
      </c>
      <c r="H47" s="71"/>
      <c r="I47" s="67"/>
      <c r="J47" s="71"/>
      <c r="K47" s="67"/>
      <c r="L47" s="71">
        <v>0.85494000000000003</v>
      </c>
      <c r="M47" s="46"/>
    </row>
    <row r="48" spans="2:15" x14ac:dyDescent="0.25">
      <c r="B48" s="68" t="s">
        <v>175</v>
      </c>
      <c r="C48" s="68"/>
      <c r="D48" s="65"/>
      <c r="E48" s="67"/>
      <c r="F48" s="72" t="s">
        <v>174</v>
      </c>
      <c r="G48" s="72" t="s">
        <v>176</v>
      </c>
      <c r="H48" s="72" t="s">
        <v>174</v>
      </c>
      <c r="I48" s="73"/>
      <c r="J48" s="70"/>
      <c r="K48" s="67"/>
      <c r="L48" s="72" t="s">
        <v>176</v>
      </c>
      <c r="M48" s="45"/>
    </row>
    <row r="49" spans="2:12" x14ac:dyDescent="0.25">
      <c r="B49" s="8"/>
      <c r="C49" s="8"/>
      <c r="D49" s="6"/>
      <c r="E49" s="16"/>
      <c r="G49" s="9"/>
      <c r="L49" s="46"/>
    </row>
    <row r="269" spans="5:23" x14ac:dyDescent="0.25">
      <c r="E269" s="34"/>
      <c r="F269" s="34"/>
      <c r="G269" s="36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</row>
    <row r="270" spans="5:23" x14ac:dyDescent="0.25">
      <c r="E270" s="34"/>
      <c r="F270" s="34"/>
      <c r="G270" s="36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</row>
    <row r="271" spans="5:23" x14ac:dyDescent="0.25">
      <c r="E271" s="34"/>
      <c r="F271" s="34"/>
      <c r="G271" s="36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</row>
    <row r="272" spans="5:23" x14ac:dyDescent="0.25">
      <c r="E272" s="34"/>
      <c r="F272" s="34"/>
      <c r="G272" s="36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</row>
    <row r="273" spans="5:23" x14ac:dyDescent="0.25">
      <c r="E273" s="34"/>
      <c r="F273" s="34"/>
      <c r="G273" s="36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</row>
    <row r="274" spans="5:23" x14ac:dyDescent="0.25">
      <c r="E274" s="34"/>
      <c r="F274" s="34"/>
      <c r="G274" s="36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</row>
    <row r="275" spans="5:23" x14ac:dyDescent="0.25">
      <c r="E275" s="34"/>
      <c r="F275" s="34"/>
      <c r="G275" s="36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</row>
    <row r="276" spans="5:23" x14ac:dyDescent="0.25">
      <c r="E276" s="34"/>
      <c r="F276" s="34"/>
      <c r="G276" s="36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</row>
    <row r="277" spans="5:23" x14ac:dyDescent="0.25">
      <c r="E277" s="34"/>
      <c r="F277" s="34"/>
      <c r="G277" s="36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</row>
    <row r="278" spans="5:23" x14ac:dyDescent="0.25">
      <c r="E278" s="34"/>
      <c r="F278" s="34"/>
      <c r="G278" s="36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</row>
    <row r="279" spans="5:23" x14ac:dyDescent="0.25">
      <c r="E279" s="34"/>
      <c r="F279" s="34"/>
      <c r="G279" s="36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</row>
    <row r="280" spans="5:23" x14ac:dyDescent="0.25">
      <c r="E280" s="34"/>
      <c r="F280" s="34"/>
      <c r="G280" s="36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</row>
    <row r="281" spans="5:23" x14ac:dyDescent="0.25">
      <c r="E281" s="34"/>
      <c r="F281" s="34"/>
      <c r="G281" s="36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</row>
    <row r="282" spans="5:23" x14ac:dyDescent="0.25">
      <c r="E282" s="34"/>
      <c r="F282" s="34"/>
      <c r="G282" s="36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</row>
    <row r="283" spans="5:23" x14ac:dyDescent="0.25">
      <c r="E283" s="34"/>
      <c r="F283" s="34"/>
      <c r="G283" s="36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</row>
    <row r="284" spans="5:23" x14ac:dyDescent="0.25">
      <c r="E284" s="34"/>
      <c r="F284" s="34"/>
      <c r="G284" s="36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</row>
    <row r="285" spans="5:23" x14ac:dyDescent="0.25">
      <c r="E285" s="34"/>
      <c r="F285" s="34"/>
      <c r="G285" s="36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</row>
    <row r="286" spans="5:23" x14ac:dyDescent="0.25">
      <c r="E286" s="34"/>
      <c r="F286" s="34"/>
      <c r="G286" s="36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</row>
    <row r="287" spans="5:23" x14ac:dyDescent="0.25">
      <c r="E287" s="34"/>
      <c r="F287" s="34"/>
      <c r="G287" s="36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</row>
    <row r="288" spans="5:23" x14ac:dyDescent="0.25">
      <c r="E288" s="34"/>
      <c r="F288" s="34"/>
      <c r="G288" s="36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</row>
    <row r="289" spans="5:23" x14ac:dyDescent="0.25">
      <c r="E289" s="34"/>
      <c r="F289" s="34"/>
      <c r="G289" s="36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</row>
    <row r="290" spans="5:23" x14ac:dyDescent="0.25">
      <c r="E290" s="34"/>
      <c r="F290" s="34"/>
      <c r="G290" s="36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</row>
    <row r="291" spans="5:23" x14ac:dyDescent="0.25">
      <c r="E291" s="34"/>
      <c r="F291" s="34"/>
      <c r="G291" s="36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</row>
    <row r="292" spans="5:23" x14ac:dyDescent="0.25">
      <c r="E292" s="34"/>
      <c r="F292" s="34"/>
      <c r="G292" s="36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</row>
    <row r="293" spans="5:23" x14ac:dyDescent="0.25">
      <c r="E293" s="34"/>
      <c r="F293" s="34"/>
      <c r="G293" s="36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</row>
    <row r="294" spans="5:23" x14ac:dyDescent="0.25">
      <c r="E294" s="34"/>
      <c r="F294" s="34"/>
      <c r="G294" s="36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</row>
    <row r="295" spans="5:23" x14ac:dyDescent="0.25">
      <c r="E295" s="34"/>
      <c r="F295" s="34"/>
      <c r="G295" s="36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</row>
    <row r="296" spans="5:23" x14ac:dyDescent="0.25">
      <c r="E296" s="34"/>
      <c r="F296" s="34"/>
      <c r="G296" s="36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</row>
    <row r="297" spans="5:23" x14ac:dyDescent="0.25">
      <c r="E297" s="34"/>
      <c r="F297" s="34"/>
      <c r="G297" s="36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</row>
    <row r="298" spans="5:23" x14ac:dyDescent="0.25">
      <c r="E298" s="34"/>
      <c r="F298" s="34"/>
      <c r="G298" s="36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</row>
    <row r="299" spans="5:23" x14ac:dyDescent="0.25">
      <c r="E299" s="34"/>
      <c r="F299" s="34"/>
      <c r="G299" s="36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</row>
    <row r="300" spans="5:23" x14ac:dyDescent="0.25">
      <c r="E300" s="34"/>
      <c r="F300" s="34"/>
      <c r="G300" s="36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</row>
    <row r="301" spans="5:23" x14ac:dyDescent="0.25">
      <c r="E301" s="34"/>
      <c r="F301" s="34"/>
      <c r="G301" s="36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</row>
    <row r="302" spans="5:23" x14ac:dyDescent="0.25">
      <c r="E302" s="34"/>
      <c r="F302" s="34"/>
      <c r="G302" s="36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</row>
    <row r="303" spans="5:23" x14ac:dyDescent="0.25">
      <c r="E303" s="34"/>
      <c r="F303" s="34"/>
      <c r="G303" s="36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</row>
    <row r="304" spans="5:23" x14ac:dyDescent="0.25">
      <c r="E304" s="34"/>
      <c r="F304" s="34"/>
      <c r="G304" s="36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</row>
    <row r="305" spans="5:23" x14ac:dyDescent="0.25">
      <c r="E305" s="34"/>
      <c r="F305" s="34"/>
      <c r="G305" s="36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</row>
    <row r="306" spans="5:23" x14ac:dyDescent="0.25">
      <c r="E306" s="34"/>
      <c r="F306" s="34"/>
      <c r="G306" s="36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</row>
    <row r="307" spans="5:23" x14ac:dyDescent="0.25">
      <c r="E307" s="34"/>
      <c r="F307" s="34"/>
      <c r="G307" s="36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</row>
    <row r="308" spans="5:23" x14ac:dyDescent="0.25">
      <c r="E308" s="34"/>
      <c r="F308" s="34"/>
      <c r="G308" s="36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</row>
    <row r="309" spans="5:23" x14ac:dyDescent="0.25">
      <c r="E309" s="34"/>
      <c r="F309" s="34"/>
      <c r="G309" s="36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</row>
    <row r="310" spans="5:23" x14ac:dyDescent="0.25">
      <c r="E310" s="34"/>
      <c r="F310" s="34"/>
      <c r="G310" s="36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</row>
    <row r="311" spans="5:23" x14ac:dyDescent="0.25">
      <c r="E311" s="34"/>
      <c r="F311" s="34"/>
      <c r="G311" s="36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</row>
    <row r="312" spans="5:23" x14ac:dyDescent="0.25">
      <c r="E312" s="34"/>
      <c r="F312" s="34"/>
      <c r="G312" s="36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</row>
    <row r="313" spans="5:23" x14ac:dyDescent="0.25">
      <c r="E313" s="34"/>
      <c r="F313" s="34"/>
      <c r="G313" s="36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</row>
    <row r="314" spans="5:23" x14ac:dyDescent="0.25">
      <c r="E314" s="34"/>
      <c r="F314" s="34"/>
      <c r="G314" s="36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</row>
    <row r="315" spans="5:23" x14ac:dyDescent="0.25">
      <c r="E315" s="34"/>
      <c r="F315" s="34"/>
      <c r="G315" s="36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</row>
    <row r="316" spans="5:23" x14ac:dyDescent="0.25">
      <c r="E316" s="34"/>
      <c r="F316" s="34"/>
      <c r="G316" s="36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</row>
    <row r="317" spans="5:23" x14ac:dyDescent="0.25">
      <c r="E317" s="34"/>
      <c r="F317" s="34"/>
      <c r="G317" s="36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</row>
    <row r="318" spans="5:23" x14ac:dyDescent="0.25">
      <c r="E318" s="34"/>
      <c r="F318" s="34"/>
      <c r="G318" s="36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</row>
    <row r="319" spans="5:23" x14ac:dyDescent="0.25">
      <c r="E319" s="34"/>
      <c r="F319" s="34"/>
      <c r="G319" s="36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</row>
    <row r="320" spans="5:23" x14ac:dyDescent="0.25">
      <c r="E320" s="34"/>
      <c r="F320" s="34"/>
      <c r="G320" s="36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</row>
    <row r="321" spans="5:23" x14ac:dyDescent="0.25">
      <c r="E321" s="34"/>
      <c r="F321" s="34"/>
      <c r="G321" s="36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</row>
    <row r="322" spans="5:23" x14ac:dyDescent="0.25">
      <c r="E322" s="34"/>
      <c r="F322" s="34"/>
      <c r="G322" s="36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</row>
    <row r="323" spans="5:23" x14ac:dyDescent="0.25">
      <c r="E323" s="34"/>
      <c r="F323" s="34"/>
      <c r="G323" s="36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</row>
    <row r="324" spans="5:23" x14ac:dyDescent="0.25">
      <c r="E324" s="34"/>
      <c r="F324" s="34"/>
      <c r="G324" s="36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</row>
    <row r="325" spans="5:23" x14ac:dyDescent="0.25">
      <c r="E325" s="34"/>
      <c r="F325" s="34"/>
      <c r="G325" s="36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</row>
    <row r="326" spans="5:23" x14ac:dyDescent="0.25">
      <c r="E326" s="34"/>
      <c r="F326" s="34"/>
      <c r="G326" s="36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</row>
    <row r="327" spans="5:23" x14ac:dyDescent="0.25">
      <c r="E327" s="34"/>
      <c r="F327" s="34"/>
      <c r="G327" s="36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</row>
    <row r="328" spans="5:23" x14ac:dyDescent="0.25">
      <c r="E328" s="34"/>
      <c r="F328" s="34"/>
      <c r="G328" s="36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</row>
    <row r="329" spans="5:23" x14ac:dyDescent="0.25">
      <c r="E329" s="34"/>
      <c r="F329" s="34"/>
      <c r="G329" s="36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</row>
    <row r="330" spans="5:23" x14ac:dyDescent="0.25">
      <c r="E330" s="34"/>
      <c r="F330" s="34"/>
      <c r="G330" s="36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</row>
    <row r="331" spans="5:23" x14ac:dyDescent="0.25">
      <c r="E331" s="34"/>
      <c r="F331" s="34"/>
      <c r="G331" s="36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</row>
    <row r="332" spans="5:23" x14ac:dyDescent="0.25">
      <c r="E332" s="34"/>
      <c r="F332" s="34"/>
      <c r="G332" s="36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</row>
    <row r="333" spans="5:23" x14ac:dyDescent="0.25">
      <c r="E333" s="34"/>
      <c r="F333" s="34"/>
      <c r="G333" s="36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</row>
    <row r="334" spans="5:23" x14ac:dyDescent="0.25">
      <c r="E334" s="34"/>
      <c r="F334" s="34"/>
      <c r="G334" s="36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</row>
    <row r="335" spans="5:23" x14ac:dyDescent="0.25">
      <c r="E335" s="34"/>
      <c r="F335" s="34"/>
      <c r="G335" s="36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</row>
    <row r="336" spans="5:23" x14ac:dyDescent="0.25">
      <c r="E336" s="34"/>
      <c r="F336" s="34"/>
      <c r="G336" s="36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</row>
    <row r="337" spans="5:23" x14ac:dyDescent="0.25">
      <c r="E337" s="34"/>
      <c r="F337" s="34"/>
      <c r="G337" s="36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</row>
    <row r="338" spans="5:23" x14ac:dyDescent="0.25">
      <c r="E338" s="34"/>
      <c r="F338" s="34"/>
      <c r="G338" s="36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</row>
    <row r="339" spans="5:23" x14ac:dyDescent="0.25">
      <c r="E339" s="34"/>
      <c r="F339" s="34"/>
      <c r="G339" s="36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</row>
    <row r="340" spans="5:23" x14ac:dyDescent="0.25">
      <c r="E340" s="34"/>
      <c r="F340" s="34"/>
      <c r="G340" s="36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</row>
    <row r="341" spans="5:23" x14ac:dyDescent="0.25">
      <c r="E341" s="34"/>
      <c r="F341" s="34"/>
      <c r="G341" s="36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</row>
    <row r="342" spans="5:23" x14ac:dyDescent="0.25">
      <c r="E342" s="34"/>
      <c r="F342" s="34"/>
      <c r="G342" s="36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</row>
    <row r="343" spans="5:23" x14ac:dyDescent="0.25">
      <c r="E343" s="34"/>
      <c r="F343" s="34"/>
      <c r="G343" s="36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</row>
    <row r="344" spans="5:23" x14ac:dyDescent="0.25">
      <c r="E344" s="34"/>
      <c r="F344" s="34"/>
      <c r="G344" s="36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</row>
    <row r="345" spans="5:23" x14ac:dyDescent="0.25">
      <c r="E345" s="34"/>
      <c r="F345" s="34"/>
      <c r="G345" s="36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</row>
    <row r="346" spans="5:23" x14ac:dyDescent="0.25">
      <c r="E346" s="34"/>
      <c r="F346" s="34"/>
      <c r="G346" s="36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</row>
    <row r="347" spans="5:23" x14ac:dyDescent="0.25">
      <c r="E347" s="34"/>
      <c r="F347" s="34"/>
      <c r="G347" s="36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</row>
    <row r="348" spans="5:23" x14ac:dyDescent="0.25">
      <c r="E348" s="34"/>
      <c r="F348" s="34"/>
      <c r="G348" s="36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</row>
    <row r="349" spans="5:23" x14ac:dyDescent="0.25">
      <c r="E349" s="34"/>
      <c r="F349" s="34"/>
      <c r="G349" s="36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</row>
    <row r="350" spans="5:23" x14ac:dyDescent="0.25">
      <c r="E350" s="34"/>
      <c r="F350" s="34"/>
      <c r="G350" s="36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</row>
    <row r="351" spans="5:23" x14ac:dyDescent="0.25">
      <c r="E351" s="34"/>
      <c r="F351" s="34"/>
      <c r="G351" s="36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</row>
    <row r="352" spans="5:23" x14ac:dyDescent="0.25">
      <c r="E352" s="34"/>
      <c r="F352" s="34"/>
      <c r="G352" s="36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</row>
    <row r="353" spans="5:23" x14ac:dyDescent="0.25">
      <c r="E353" s="34"/>
      <c r="F353" s="34"/>
      <c r="G353" s="36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</row>
    <row r="354" spans="5:23" x14ac:dyDescent="0.25">
      <c r="E354" s="34"/>
      <c r="F354" s="34"/>
      <c r="G354" s="36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</row>
    <row r="355" spans="5:23" x14ac:dyDescent="0.25">
      <c r="E355" s="34"/>
      <c r="F355" s="34"/>
      <c r="G355" s="36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</row>
    <row r="356" spans="5:23" x14ac:dyDescent="0.25">
      <c r="E356" s="34"/>
      <c r="F356" s="34"/>
      <c r="G356" s="36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</row>
    <row r="357" spans="5:23" x14ac:dyDescent="0.25">
      <c r="E357" s="34"/>
      <c r="F357" s="34"/>
      <c r="G357" s="36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</row>
    <row r="358" spans="5:23" x14ac:dyDescent="0.25">
      <c r="E358" s="34"/>
      <c r="F358" s="34"/>
      <c r="G358" s="36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</row>
    <row r="359" spans="5:23" x14ac:dyDescent="0.25">
      <c r="E359" s="34"/>
      <c r="F359" s="34"/>
      <c r="G359" s="36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</row>
    <row r="360" spans="5:23" x14ac:dyDescent="0.25">
      <c r="E360" s="34"/>
      <c r="F360" s="34"/>
      <c r="G360" s="36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</row>
    <row r="361" spans="5:23" x14ac:dyDescent="0.25">
      <c r="E361" s="34"/>
      <c r="F361" s="34"/>
      <c r="G361" s="36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</row>
    <row r="362" spans="5:23" x14ac:dyDescent="0.25">
      <c r="E362" s="34"/>
      <c r="F362" s="34"/>
      <c r="G362" s="36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</row>
    <row r="363" spans="5:23" x14ac:dyDescent="0.25">
      <c r="E363" s="34"/>
      <c r="F363" s="34"/>
      <c r="G363" s="36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</row>
    <row r="364" spans="5:23" x14ac:dyDescent="0.25">
      <c r="E364" s="34"/>
      <c r="F364" s="34"/>
      <c r="G364" s="36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</row>
    <row r="365" spans="5:23" x14ac:dyDescent="0.25">
      <c r="E365" s="34"/>
      <c r="F365" s="34"/>
      <c r="G365" s="36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</row>
    <row r="366" spans="5:23" x14ac:dyDescent="0.25">
      <c r="E366" s="34"/>
      <c r="F366" s="34"/>
      <c r="G366" s="36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</row>
    <row r="367" spans="5:23" x14ac:dyDescent="0.25">
      <c r="E367" s="34"/>
      <c r="F367" s="34"/>
      <c r="G367" s="36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</row>
    <row r="368" spans="5:23" x14ac:dyDescent="0.25">
      <c r="E368" s="34"/>
      <c r="F368" s="34"/>
      <c r="G368" s="36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</row>
    <row r="369" spans="5:23" x14ac:dyDescent="0.25">
      <c r="E369" s="34"/>
      <c r="F369" s="34"/>
      <c r="G369" s="36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</row>
    <row r="370" spans="5:23" x14ac:dyDescent="0.25">
      <c r="E370" s="34"/>
      <c r="F370" s="34"/>
      <c r="G370" s="36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</row>
    <row r="371" spans="5:23" x14ac:dyDescent="0.25">
      <c r="E371" s="34"/>
      <c r="F371" s="34"/>
      <c r="G371" s="36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</row>
    <row r="372" spans="5:23" x14ac:dyDescent="0.25">
      <c r="E372" s="34"/>
      <c r="F372" s="34"/>
      <c r="G372" s="36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</row>
    <row r="373" spans="5:23" x14ac:dyDescent="0.25">
      <c r="E373" s="34"/>
      <c r="F373" s="34"/>
      <c r="G373" s="36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</row>
    <row r="374" spans="5:23" x14ac:dyDescent="0.25">
      <c r="E374" s="34"/>
      <c r="F374" s="34"/>
      <c r="G374" s="36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</row>
    <row r="375" spans="5:23" x14ac:dyDescent="0.25">
      <c r="E375" s="34"/>
      <c r="F375" s="34"/>
      <c r="G375" s="36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</row>
    <row r="376" spans="5:23" x14ac:dyDescent="0.25">
      <c r="E376" s="34"/>
      <c r="F376" s="34"/>
      <c r="G376" s="36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</row>
    <row r="377" spans="5:23" x14ac:dyDescent="0.25">
      <c r="E377" s="34"/>
      <c r="F377" s="34"/>
      <c r="G377" s="36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</row>
    <row r="378" spans="5:23" x14ac:dyDescent="0.25">
      <c r="E378" s="34"/>
      <c r="F378" s="34"/>
      <c r="G378" s="36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</row>
    <row r="379" spans="5:23" x14ac:dyDescent="0.25">
      <c r="E379" s="34"/>
      <c r="F379" s="34"/>
      <c r="G379" s="36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</row>
    <row r="380" spans="5:23" x14ac:dyDescent="0.25">
      <c r="E380" s="34"/>
      <c r="F380" s="34"/>
      <c r="G380" s="36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</row>
    <row r="381" spans="5:23" x14ac:dyDescent="0.25">
      <c r="E381" s="34"/>
      <c r="F381" s="34"/>
      <c r="G381" s="36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</row>
    <row r="382" spans="5:23" x14ac:dyDescent="0.25">
      <c r="E382" s="34"/>
      <c r="F382" s="34"/>
      <c r="G382" s="36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</row>
    <row r="383" spans="5:23" x14ac:dyDescent="0.25">
      <c r="E383" s="34"/>
      <c r="F383" s="34"/>
      <c r="G383" s="36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</row>
    <row r="384" spans="5:23" x14ac:dyDescent="0.25">
      <c r="E384" s="34"/>
      <c r="F384" s="34"/>
      <c r="G384" s="36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</row>
    <row r="385" spans="5:23" x14ac:dyDescent="0.25">
      <c r="E385" s="34"/>
      <c r="F385" s="34"/>
      <c r="G385" s="36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</row>
    <row r="386" spans="5:23" x14ac:dyDescent="0.25">
      <c r="E386" s="34"/>
      <c r="F386" s="34"/>
      <c r="G386" s="36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</row>
    <row r="387" spans="5:23" x14ac:dyDescent="0.25">
      <c r="E387" s="34"/>
      <c r="F387" s="34"/>
      <c r="G387" s="36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</row>
    <row r="388" spans="5:23" x14ac:dyDescent="0.25">
      <c r="E388" s="34"/>
      <c r="F388" s="34"/>
      <c r="G388" s="36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</row>
    <row r="389" spans="5:23" x14ac:dyDescent="0.25">
      <c r="E389" s="34"/>
      <c r="F389" s="34"/>
      <c r="G389" s="36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</row>
    <row r="390" spans="5:23" x14ac:dyDescent="0.25">
      <c r="E390" s="34"/>
      <c r="F390" s="34"/>
      <c r="G390" s="36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</row>
    <row r="391" spans="5:23" x14ac:dyDescent="0.25">
      <c r="E391" s="34"/>
      <c r="F391" s="34"/>
      <c r="G391" s="36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</row>
    <row r="392" spans="5:23" x14ac:dyDescent="0.25">
      <c r="E392" s="34"/>
      <c r="F392" s="34"/>
      <c r="G392" s="36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</row>
    <row r="393" spans="5:23" x14ac:dyDescent="0.25">
      <c r="E393" s="34"/>
      <c r="F393" s="34"/>
      <c r="G393" s="36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</row>
    <row r="394" spans="5:23" x14ac:dyDescent="0.25">
      <c r="E394" s="34"/>
      <c r="F394" s="34"/>
      <c r="G394" s="36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</row>
    <row r="395" spans="5:23" x14ac:dyDescent="0.25">
      <c r="E395" s="34"/>
      <c r="F395" s="34"/>
      <c r="G395" s="36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</row>
    <row r="396" spans="5:23" x14ac:dyDescent="0.25">
      <c r="E396" s="34"/>
      <c r="F396" s="34"/>
      <c r="G396" s="36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</row>
    <row r="397" spans="5:23" x14ac:dyDescent="0.25">
      <c r="E397" s="34"/>
      <c r="F397" s="34"/>
      <c r="G397" s="36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</row>
    <row r="398" spans="5:23" x14ac:dyDescent="0.25">
      <c r="E398" s="34"/>
      <c r="F398" s="34"/>
      <c r="G398" s="36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</row>
    <row r="399" spans="5:23" x14ac:dyDescent="0.25">
      <c r="E399" s="34"/>
      <c r="F399" s="34"/>
      <c r="G399" s="36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</row>
    <row r="400" spans="5:23" x14ac:dyDescent="0.25">
      <c r="E400" s="34"/>
      <c r="F400" s="34"/>
      <c r="G400" s="36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</row>
    <row r="401" spans="5:23" x14ac:dyDescent="0.25">
      <c r="E401" s="34"/>
      <c r="F401" s="34"/>
      <c r="G401" s="36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</row>
    <row r="402" spans="5:23" x14ac:dyDescent="0.25">
      <c r="E402" s="34"/>
      <c r="F402" s="34"/>
      <c r="G402" s="36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</row>
    <row r="403" spans="5:23" x14ac:dyDescent="0.25">
      <c r="E403" s="34"/>
      <c r="F403" s="34"/>
      <c r="G403" s="36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</row>
    <row r="404" spans="5:23" x14ac:dyDescent="0.25">
      <c r="E404" s="34"/>
      <c r="F404" s="34"/>
      <c r="G404" s="36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</row>
    <row r="405" spans="5:23" x14ac:dyDescent="0.25">
      <c r="E405" s="34"/>
      <c r="F405" s="34"/>
      <c r="G405" s="36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</row>
    <row r="406" spans="5:23" x14ac:dyDescent="0.25">
      <c r="E406" s="34"/>
      <c r="F406" s="34"/>
      <c r="G406" s="36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</row>
    <row r="407" spans="5:23" x14ac:dyDescent="0.25">
      <c r="E407" s="34"/>
      <c r="F407" s="34"/>
      <c r="G407" s="36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</row>
    <row r="408" spans="5:23" x14ac:dyDescent="0.25">
      <c r="E408" s="34"/>
      <c r="F408" s="34"/>
      <c r="G408" s="36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</row>
    <row r="409" spans="5:23" x14ac:dyDescent="0.25">
      <c r="E409" s="34"/>
      <c r="F409" s="34"/>
      <c r="G409" s="36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</row>
    <row r="410" spans="5:23" x14ac:dyDescent="0.25">
      <c r="E410" s="34"/>
      <c r="F410" s="34"/>
      <c r="G410" s="36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</row>
    <row r="411" spans="5:23" x14ac:dyDescent="0.25">
      <c r="E411" s="34"/>
      <c r="F411" s="34"/>
      <c r="G411" s="36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</row>
    <row r="412" spans="5:23" x14ac:dyDescent="0.25">
      <c r="E412" s="34"/>
      <c r="F412" s="34"/>
      <c r="G412" s="36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</row>
    <row r="413" spans="5:23" x14ac:dyDescent="0.25">
      <c r="E413" s="34"/>
      <c r="F413" s="34"/>
      <c r="G413" s="36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</row>
    <row r="414" spans="5:23" x14ac:dyDescent="0.25">
      <c r="E414" s="34"/>
      <c r="F414" s="34"/>
      <c r="G414" s="36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</row>
    <row r="415" spans="5:23" x14ac:dyDescent="0.25">
      <c r="E415" s="34"/>
      <c r="F415" s="34"/>
      <c r="G415" s="36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</row>
    <row r="416" spans="5:23" x14ac:dyDescent="0.25">
      <c r="E416" s="34"/>
      <c r="F416" s="34"/>
      <c r="G416" s="36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</row>
    <row r="417" spans="5:23" x14ac:dyDescent="0.25">
      <c r="E417" s="34"/>
      <c r="F417" s="34"/>
      <c r="G417" s="36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</row>
    <row r="418" spans="5:23" x14ac:dyDescent="0.25">
      <c r="E418" s="34"/>
      <c r="F418" s="34"/>
      <c r="G418" s="36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</row>
    <row r="419" spans="5:23" x14ac:dyDescent="0.25">
      <c r="E419" s="34"/>
      <c r="F419" s="34"/>
      <c r="G419" s="36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</row>
    <row r="420" spans="5:23" x14ac:dyDescent="0.25">
      <c r="E420" s="34"/>
      <c r="F420" s="34"/>
      <c r="G420" s="36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</row>
    <row r="421" spans="5:23" x14ac:dyDescent="0.25">
      <c r="E421" s="34"/>
      <c r="F421" s="34"/>
      <c r="G421" s="36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</row>
    <row r="422" spans="5:23" x14ac:dyDescent="0.25">
      <c r="E422" s="34"/>
      <c r="F422" s="34"/>
      <c r="G422" s="36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</row>
    <row r="423" spans="5:23" x14ac:dyDescent="0.25">
      <c r="E423" s="34"/>
      <c r="F423" s="34"/>
      <c r="G423" s="36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</row>
    <row r="424" spans="5:23" x14ac:dyDescent="0.25">
      <c r="E424" s="34"/>
      <c r="F424" s="34"/>
      <c r="G424" s="36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</row>
    <row r="425" spans="5:23" x14ac:dyDescent="0.25">
      <c r="E425" s="34"/>
      <c r="F425" s="34"/>
      <c r="G425" s="36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</row>
    <row r="426" spans="5:23" x14ac:dyDescent="0.25">
      <c r="E426" s="34"/>
      <c r="F426" s="34"/>
      <c r="G426" s="36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</row>
    <row r="427" spans="5:23" x14ac:dyDescent="0.25">
      <c r="E427" s="34"/>
      <c r="F427" s="34"/>
      <c r="G427" s="36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</row>
    <row r="428" spans="5:23" x14ac:dyDescent="0.25">
      <c r="E428" s="34"/>
      <c r="F428" s="34"/>
      <c r="G428" s="36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</row>
    <row r="429" spans="5:23" x14ac:dyDescent="0.25">
      <c r="E429" s="34"/>
      <c r="F429" s="34"/>
      <c r="G429" s="36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</row>
    <row r="430" spans="5:23" x14ac:dyDescent="0.25">
      <c r="E430" s="34"/>
      <c r="F430" s="34"/>
      <c r="G430" s="36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</row>
    <row r="431" spans="5:23" x14ac:dyDescent="0.25">
      <c r="E431" s="34"/>
      <c r="F431" s="34"/>
      <c r="G431" s="36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</row>
    <row r="432" spans="5:23" x14ac:dyDescent="0.25">
      <c r="E432" s="34"/>
      <c r="F432" s="34"/>
      <c r="G432" s="36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</row>
    <row r="433" spans="5:23" x14ac:dyDescent="0.25">
      <c r="E433" s="34"/>
      <c r="F433" s="34"/>
      <c r="G433" s="36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</row>
    <row r="434" spans="5:23" x14ac:dyDescent="0.25">
      <c r="E434" s="34"/>
      <c r="F434" s="34"/>
      <c r="G434" s="36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</row>
    <row r="435" spans="5:23" x14ac:dyDescent="0.25">
      <c r="E435" s="34"/>
      <c r="F435" s="34"/>
      <c r="G435" s="36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</row>
    <row r="436" spans="5:23" x14ac:dyDescent="0.25">
      <c r="E436" s="34"/>
      <c r="F436" s="34"/>
      <c r="G436" s="36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</row>
    <row r="437" spans="5:23" x14ac:dyDescent="0.25">
      <c r="E437" s="34"/>
      <c r="F437" s="34"/>
      <c r="G437" s="36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</row>
    <row r="438" spans="5:23" x14ac:dyDescent="0.25">
      <c r="E438" s="34"/>
      <c r="F438" s="34"/>
      <c r="G438" s="36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</row>
    <row r="439" spans="5:23" x14ac:dyDescent="0.25">
      <c r="E439" s="34"/>
      <c r="F439" s="34"/>
      <c r="G439" s="36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</row>
    <row r="440" spans="5:23" x14ac:dyDescent="0.25">
      <c r="E440" s="34"/>
      <c r="F440" s="34"/>
      <c r="G440" s="36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</row>
    <row r="441" spans="5:23" x14ac:dyDescent="0.25">
      <c r="E441" s="34"/>
      <c r="F441" s="34"/>
      <c r="G441" s="36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</row>
    <row r="442" spans="5:23" x14ac:dyDescent="0.25">
      <c r="E442" s="34"/>
      <c r="F442" s="34"/>
      <c r="G442" s="36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</row>
    <row r="443" spans="5:23" x14ac:dyDescent="0.25">
      <c r="E443" s="34"/>
      <c r="F443" s="34"/>
      <c r="G443" s="36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</row>
    <row r="444" spans="5:23" x14ac:dyDescent="0.25">
      <c r="E444" s="34"/>
      <c r="F444" s="34"/>
      <c r="G444" s="36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</row>
    <row r="445" spans="5:23" x14ac:dyDescent="0.25">
      <c r="E445" s="34"/>
      <c r="F445" s="34"/>
      <c r="G445" s="36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</row>
    <row r="446" spans="5:23" x14ac:dyDescent="0.25">
      <c r="E446" s="34"/>
      <c r="F446" s="34"/>
      <c r="G446" s="36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</row>
    <row r="447" spans="5:23" x14ac:dyDescent="0.25">
      <c r="E447" s="34"/>
      <c r="F447" s="34"/>
      <c r="G447" s="36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</row>
    <row r="448" spans="5:23" x14ac:dyDescent="0.25">
      <c r="E448" s="34"/>
      <c r="F448" s="34"/>
      <c r="G448" s="36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</row>
    <row r="449" spans="5:23" x14ac:dyDescent="0.25">
      <c r="E449" s="34"/>
      <c r="F449" s="34"/>
      <c r="G449" s="36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</row>
    <row r="450" spans="5:23" x14ac:dyDescent="0.25">
      <c r="E450" s="34"/>
      <c r="F450" s="34"/>
      <c r="G450" s="36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</row>
    <row r="451" spans="5:23" x14ac:dyDescent="0.25">
      <c r="E451" s="34"/>
      <c r="F451" s="34"/>
      <c r="G451" s="36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</row>
    <row r="452" spans="5:23" x14ac:dyDescent="0.25">
      <c r="E452" s="34"/>
      <c r="F452" s="34"/>
      <c r="G452" s="36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</row>
    <row r="453" spans="5:23" x14ac:dyDescent="0.25">
      <c r="E453" s="34"/>
      <c r="F453" s="34"/>
      <c r="G453" s="36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</row>
    <row r="454" spans="5:23" x14ac:dyDescent="0.25">
      <c r="E454" s="34"/>
      <c r="F454" s="34"/>
      <c r="G454" s="36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</row>
    <row r="455" spans="5:23" x14ac:dyDescent="0.25">
      <c r="E455" s="34"/>
      <c r="F455" s="34"/>
      <c r="G455" s="36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</row>
    <row r="456" spans="5:23" x14ac:dyDescent="0.25">
      <c r="E456" s="34"/>
      <c r="F456" s="34"/>
      <c r="G456" s="36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</row>
    <row r="457" spans="5:23" x14ac:dyDescent="0.25">
      <c r="E457" s="34"/>
      <c r="F457" s="34"/>
      <c r="G457" s="36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</row>
    <row r="458" spans="5:23" x14ac:dyDescent="0.25">
      <c r="E458" s="34"/>
      <c r="F458" s="34"/>
      <c r="G458" s="36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</row>
    <row r="459" spans="5:23" x14ac:dyDescent="0.25">
      <c r="E459" s="34"/>
      <c r="F459" s="34"/>
      <c r="G459" s="36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</row>
    <row r="460" spans="5:23" x14ac:dyDescent="0.25">
      <c r="E460" s="34"/>
      <c r="F460" s="34"/>
      <c r="G460" s="36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</row>
    <row r="461" spans="5:23" x14ac:dyDescent="0.25">
      <c r="E461" s="34"/>
      <c r="F461" s="34"/>
      <c r="G461" s="36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</row>
    <row r="462" spans="5:23" x14ac:dyDescent="0.25">
      <c r="E462" s="34"/>
      <c r="F462" s="34"/>
      <c r="G462" s="36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</row>
    <row r="463" spans="5:23" x14ac:dyDescent="0.25">
      <c r="E463" s="34"/>
      <c r="F463" s="34"/>
      <c r="G463" s="36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</row>
    <row r="464" spans="5:23" x14ac:dyDescent="0.25">
      <c r="E464" s="34"/>
      <c r="F464" s="34"/>
      <c r="G464" s="36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</row>
    <row r="465" spans="5:23" x14ac:dyDescent="0.25">
      <c r="E465" s="34"/>
      <c r="F465" s="34"/>
      <c r="G465" s="36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</row>
    <row r="466" spans="5:23" x14ac:dyDescent="0.25">
      <c r="E466" s="34"/>
      <c r="F466" s="34"/>
      <c r="G466" s="36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</row>
    <row r="467" spans="5:23" x14ac:dyDescent="0.25">
      <c r="E467" s="34"/>
      <c r="F467" s="34"/>
      <c r="G467" s="36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</row>
    <row r="468" spans="5:23" x14ac:dyDescent="0.25">
      <c r="E468" s="34"/>
      <c r="F468" s="34"/>
      <c r="G468" s="36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</row>
    <row r="469" spans="5:23" x14ac:dyDescent="0.25">
      <c r="E469" s="34"/>
      <c r="F469" s="34"/>
      <c r="G469" s="36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</row>
    <row r="470" spans="5:23" x14ac:dyDescent="0.25">
      <c r="E470" s="34"/>
      <c r="F470" s="34"/>
      <c r="G470" s="36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</row>
    <row r="471" spans="5:23" x14ac:dyDescent="0.25">
      <c r="E471" s="34"/>
      <c r="F471" s="34"/>
      <c r="G471" s="36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</row>
    <row r="472" spans="5:23" x14ac:dyDescent="0.25">
      <c r="E472" s="34"/>
      <c r="F472" s="34"/>
      <c r="G472" s="36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</row>
    <row r="473" spans="5:23" x14ac:dyDescent="0.25">
      <c r="E473" s="34"/>
      <c r="F473" s="34"/>
      <c r="G473" s="36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</row>
    <row r="474" spans="5:23" x14ac:dyDescent="0.25">
      <c r="E474" s="34"/>
      <c r="F474" s="34"/>
      <c r="G474" s="36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</row>
    <row r="475" spans="5:23" x14ac:dyDescent="0.25">
      <c r="E475" s="34"/>
      <c r="F475" s="34"/>
      <c r="G475" s="36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</row>
    <row r="476" spans="5:23" x14ac:dyDescent="0.25">
      <c r="E476" s="34"/>
      <c r="F476" s="34"/>
      <c r="G476" s="36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</row>
    <row r="477" spans="5:23" x14ac:dyDescent="0.25">
      <c r="E477" s="34"/>
      <c r="F477" s="34"/>
      <c r="G477" s="36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</row>
    <row r="478" spans="5:23" x14ac:dyDescent="0.25">
      <c r="E478" s="34"/>
      <c r="F478" s="34"/>
      <c r="G478" s="36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</row>
    <row r="479" spans="5:23" x14ac:dyDescent="0.25">
      <c r="E479" s="34"/>
      <c r="F479" s="34"/>
      <c r="G479" s="36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</row>
    <row r="480" spans="5:23" x14ac:dyDescent="0.25">
      <c r="E480" s="34"/>
      <c r="F480" s="34"/>
      <c r="G480" s="36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</row>
    <row r="481" spans="5:23" x14ac:dyDescent="0.25">
      <c r="E481" s="34"/>
      <c r="F481" s="34"/>
      <c r="G481" s="36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</row>
    <row r="482" spans="5:23" x14ac:dyDescent="0.25">
      <c r="E482" s="34"/>
      <c r="F482" s="34"/>
      <c r="G482" s="36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</row>
    <row r="483" spans="5:23" x14ac:dyDescent="0.25">
      <c r="E483" s="34"/>
      <c r="F483" s="34"/>
      <c r="G483" s="36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</row>
    <row r="484" spans="5:23" x14ac:dyDescent="0.25">
      <c r="E484" s="34"/>
      <c r="F484" s="34"/>
      <c r="G484" s="36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</row>
    <row r="485" spans="5:23" x14ac:dyDescent="0.25">
      <c r="E485" s="34"/>
      <c r="F485" s="34"/>
      <c r="G485" s="36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</row>
    <row r="486" spans="5:23" x14ac:dyDescent="0.25">
      <c r="E486" s="34"/>
      <c r="F486" s="34"/>
      <c r="G486" s="36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</row>
    <row r="487" spans="5:23" x14ac:dyDescent="0.25">
      <c r="E487" s="34"/>
      <c r="F487" s="34"/>
      <c r="G487" s="36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</row>
    <row r="488" spans="5:23" x14ac:dyDescent="0.25">
      <c r="E488" s="34"/>
      <c r="F488" s="34"/>
      <c r="G488" s="36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</row>
    <row r="489" spans="5:23" x14ac:dyDescent="0.25">
      <c r="E489" s="34"/>
      <c r="F489" s="34"/>
      <c r="G489" s="36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</row>
    <row r="490" spans="5:23" x14ac:dyDescent="0.25">
      <c r="E490" s="34"/>
      <c r="F490" s="34"/>
      <c r="G490" s="36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</row>
    <row r="491" spans="5:23" x14ac:dyDescent="0.25">
      <c r="E491" s="34"/>
      <c r="F491" s="34"/>
      <c r="G491" s="36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</row>
    <row r="492" spans="5:23" x14ac:dyDescent="0.25">
      <c r="E492" s="34"/>
      <c r="F492" s="34"/>
      <c r="G492" s="36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</row>
    <row r="493" spans="5:23" x14ac:dyDescent="0.25">
      <c r="E493" s="34"/>
      <c r="F493" s="34"/>
      <c r="G493" s="36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</row>
    <row r="494" spans="5:23" x14ac:dyDescent="0.25">
      <c r="E494" s="34"/>
      <c r="F494" s="34"/>
      <c r="G494" s="36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</row>
    <row r="495" spans="5:23" x14ac:dyDescent="0.25">
      <c r="E495" s="34"/>
      <c r="F495" s="34"/>
      <c r="G495" s="36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</row>
    <row r="496" spans="5:23" x14ac:dyDescent="0.25">
      <c r="E496" s="34"/>
      <c r="F496" s="34"/>
      <c r="G496" s="36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</row>
    <row r="497" spans="5:23" x14ac:dyDescent="0.25">
      <c r="E497" s="34"/>
      <c r="F497" s="34"/>
      <c r="G497" s="36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</row>
    <row r="498" spans="5:23" x14ac:dyDescent="0.25">
      <c r="E498" s="34"/>
      <c r="F498" s="34"/>
      <c r="G498" s="36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</row>
    <row r="499" spans="5:23" x14ac:dyDescent="0.25">
      <c r="E499" s="34"/>
      <c r="F499" s="34"/>
      <c r="G499" s="36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</row>
    <row r="500" spans="5:23" x14ac:dyDescent="0.25">
      <c r="E500" s="34"/>
      <c r="F500" s="34"/>
      <c r="G500" s="36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</row>
    <row r="501" spans="5:23" x14ac:dyDescent="0.25">
      <c r="E501" s="34"/>
      <c r="F501" s="34"/>
      <c r="G501" s="36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</row>
    <row r="502" spans="5:23" x14ac:dyDescent="0.25">
      <c r="E502" s="34"/>
      <c r="F502" s="34"/>
      <c r="G502" s="36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</row>
    <row r="503" spans="5:23" x14ac:dyDescent="0.25">
      <c r="E503" s="34"/>
      <c r="F503" s="34"/>
      <c r="G503" s="36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</row>
    <row r="504" spans="5:23" x14ac:dyDescent="0.25">
      <c r="E504" s="34"/>
      <c r="F504" s="34"/>
      <c r="G504" s="36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</row>
    <row r="505" spans="5:23" x14ac:dyDescent="0.25">
      <c r="E505" s="34"/>
      <c r="F505" s="34"/>
      <c r="G505" s="36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</row>
  </sheetData>
  <sortState ref="B127:Z130">
    <sortCondition ref="C127:C130"/>
  </sortState>
  <hyperlinks>
    <hyperlink ref="L27" r:id="rId1" display="=@if(K26=0,0,P178-K28)"/>
    <hyperlink ref="L28" r:id="rId2" display="=@if(K26=0,0,SUM(P152:P177))"/>
    <hyperlink ref="L29" r:id="rId3" display="=@if(K26=0,0,Q178)"/>
    <hyperlink ref="L30" r:id="rId4" display="=@if(K26=0,0,R178)"/>
    <hyperlink ref="L31" r:id="rId5" display="=@if(K26=0,0,S178)"/>
    <hyperlink ref="L32" r:id="rId6" display="=@if(K26=0,0,T178)"/>
    <hyperlink ref="L33" r:id="rId7" display="=@if(K26=0,0,U178)"/>
    <hyperlink ref="L34" r:id="rId8" display="=@if(K26=0,0,SUM(U152:U177))"/>
    <hyperlink ref="L35" r:id="rId9" display="=@if(K26=0,0,V178)"/>
    <hyperlink ref="L36" r:id="rId10" display="=@if(K26=0,0,W178)"/>
  </hyperlinks>
  <pageMargins left="0.7" right="0.7" top="0.75" bottom="0.75" header="0.3" footer="0.3"/>
  <pageSetup paperSize="9" orientation="portrait" verticalDpi="0" r:id="rId11"/>
  <legacy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19"/>
  <sheetViews>
    <sheetView zoomScale="70" zoomScaleNormal="70" workbookViewId="0"/>
  </sheetViews>
  <sheetFormatPr defaultRowHeight="15" x14ac:dyDescent="0.25"/>
  <cols>
    <col min="2" max="2" width="21.7109375" customWidth="1"/>
    <col min="4" max="4" width="18.85546875" customWidth="1"/>
  </cols>
  <sheetData>
    <row r="1" spans="1:23" s="9" customFormat="1" ht="15.75" x14ac:dyDescent="0.25">
      <c r="A1" s="211" t="s">
        <v>160</v>
      </c>
      <c r="C1" s="5"/>
      <c r="F1" s="44"/>
      <c r="G1" s="45"/>
      <c r="H1" s="46"/>
      <c r="I1" s="43"/>
      <c r="J1" s="46"/>
      <c r="K1" s="46"/>
      <c r="L1" s="46"/>
    </row>
    <row r="2" spans="1:23" s="9" customFormat="1" ht="15.75" x14ac:dyDescent="0.25">
      <c r="B2" s="19" t="s">
        <v>135</v>
      </c>
      <c r="C2" s="19"/>
      <c r="D2" s="19" t="s">
        <v>187</v>
      </c>
      <c r="E2" s="34"/>
      <c r="F2" s="34"/>
      <c r="G2" s="36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3" s="9" customFormat="1" ht="15.75" x14ac:dyDescent="0.25">
      <c r="B3" s="18" t="s">
        <v>136</v>
      </c>
      <c r="C3" s="18"/>
      <c r="D3" s="82" t="s">
        <v>188</v>
      </c>
      <c r="E3" s="37" t="s">
        <v>24</v>
      </c>
      <c r="F3" s="37" t="s">
        <v>137</v>
      </c>
      <c r="G3" s="37" t="s">
        <v>138</v>
      </c>
      <c r="H3" s="37" t="s">
        <v>137</v>
      </c>
      <c r="I3" s="37" t="s">
        <v>139</v>
      </c>
      <c r="J3" s="37" t="s">
        <v>143</v>
      </c>
      <c r="K3" s="37" t="s">
        <v>144</v>
      </c>
      <c r="L3" s="37" t="s">
        <v>145</v>
      </c>
      <c r="M3" s="37" t="s">
        <v>116</v>
      </c>
      <c r="N3" s="7" t="s">
        <v>177</v>
      </c>
      <c r="O3" s="48" t="s">
        <v>189</v>
      </c>
      <c r="P3" s="34"/>
      <c r="Q3" s="34"/>
      <c r="R3" s="34"/>
      <c r="S3" s="34"/>
      <c r="T3" s="34"/>
      <c r="U3" s="34"/>
      <c r="V3" s="34"/>
      <c r="W3" s="34"/>
    </row>
    <row r="4" spans="1:23" s="9" customFormat="1" ht="15.75" x14ac:dyDescent="0.25">
      <c r="B4" s="6" t="s">
        <v>62</v>
      </c>
      <c r="C4" s="108" t="s">
        <v>197</v>
      </c>
      <c r="D4" s="82" t="s">
        <v>27</v>
      </c>
      <c r="E4" s="81">
        <f t="shared" ref="E4:L13" si="0">+E48+E92+E136+E180</f>
        <v>0</v>
      </c>
      <c r="F4" s="67">
        <f t="shared" si="0"/>
        <v>0</v>
      </c>
      <c r="G4" s="67">
        <f t="shared" si="0"/>
        <v>0</v>
      </c>
      <c r="H4" s="67">
        <f t="shared" si="0"/>
        <v>0</v>
      </c>
      <c r="I4" s="67">
        <f t="shared" si="0"/>
        <v>0</v>
      </c>
      <c r="J4" s="81">
        <f t="shared" si="0"/>
        <v>0</v>
      </c>
      <c r="K4" s="67">
        <f t="shared" si="0"/>
        <v>0</v>
      </c>
      <c r="L4" s="67">
        <f t="shared" si="0"/>
        <v>0</v>
      </c>
      <c r="M4" s="34">
        <f t="shared" ref="M4:M40" si="1">SUM(E4:L4)</f>
        <v>0</v>
      </c>
      <c r="N4" s="47">
        <f t="shared" ref="N4:N40" si="2">+M4/M$41</f>
        <v>0</v>
      </c>
      <c r="P4" s="34"/>
      <c r="Q4" s="34"/>
      <c r="R4" s="34"/>
      <c r="S4" s="34"/>
      <c r="T4" s="34"/>
      <c r="U4" s="34"/>
      <c r="V4" s="34"/>
      <c r="W4" s="34"/>
    </row>
    <row r="5" spans="1:23" s="9" customFormat="1" ht="15.75" x14ac:dyDescent="0.25">
      <c r="B5" s="6" t="s">
        <v>63</v>
      </c>
      <c r="C5" s="108" t="s">
        <v>198</v>
      </c>
      <c r="D5" s="82" t="s">
        <v>28</v>
      </c>
      <c r="E5" s="81">
        <f t="shared" si="0"/>
        <v>0</v>
      </c>
      <c r="F5" s="67">
        <f t="shared" si="0"/>
        <v>1</v>
      </c>
      <c r="G5" s="67">
        <f t="shared" si="0"/>
        <v>0</v>
      </c>
      <c r="H5" s="67">
        <f t="shared" si="0"/>
        <v>0</v>
      </c>
      <c r="I5" s="67">
        <f t="shared" si="0"/>
        <v>0</v>
      </c>
      <c r="J5" s="81">
        <f t="shared" si="0"/>
        <v>5</v>
      </c>
      <c r="K5" s="67">
        <f t="shared" si="0"/>
        <v>36</v>
      </c>
      <c r="L5" s="67">
        <f t="shared" si="0"/>
        <v>0</v>
      </c>
      <c r="M5" s="34">
        <f t="shared" si="1"/>
        <v>42</v>
      </c>
      <c r="N5" s="47">
        <f t="shared" si="2"/>
        <v>1.3380057343102899E-2</v>
      </c>
      <c r="O5" s="9">
        <v>3</v>
      </c>
      <c r="P5" s="56"/>
      <c r="Q5" s="34"/>
      <c r="R5" s="34"/>
      <c r="S5" s="34"/>
      <c r="T5" s="34"/>
      <c r="U5" s="34"/>
      <c r="V5" s="34"/>
      <c r="W5" s="34"/>
    </row>
    <row r="6" spans="1:23" s="9" customFormat="1" ht="15.75" x14ac:dyDescent="0.25">
      <c r="B6" s="6" t="s">
        <v>53</v>
      </c>
      <c r="C6" s="108" t="s">
        <v>213</v>
      </c>
      <c r="D6" s="82" t="s">
        <v>18</v>
      </c>
      <c r="E6" s="67">
        <f t="shared" si="0"/>
        <v>0</v>
      </c>
      <c r="F6" s="67">
        <f t="shared" si="0"/>
        <v>0</v>
      </c>
      <c r="G6" s="67">
        <f t="shared" si="0"/>
        <v>0</v>
      </c>
      <c r="H6" s="67">
        <f t="shared" si="0"/>
        <v>0</v>
      </c>
      <c r="I6" s="67">
        <f t="shared" si="0"/>
        <v>0</v>
      </c>
      <c r="J6" s="67">
        <f t="shared" si="0"/>
        <v>0</v>
      </c>
      <c r="K6" s="67">
        <f t="shared" si="0"/>
        <v>0</v>
      </c>
      <c r="L6" s="67">
        <f t="shared" si="0"/>
        <v>0</v>
      </c>
      <c r="M6" s="34">
        <f t="shared" si="1"/>
        <v>0</v>
      </c>
      <c r="N6" s="47">
        <f t="shared" si="2"/>
        <v>0</v>
      </c>
      <c r="P6" s="34"/>
      <c r="Q6" s="34"/>
      <c r="R6" s="34"/>
      <c r="S6" s="34"/>
      <c r="T6" s="34"/>
      <c r="U6" s="34"/>
      <c r="V6" s="34"/>
      <c r="W6" s="34"/>
    </row>
    <row r="7" spans="1:23" s="9" customFormat="1" ht="15.75" x14ac:dyDescent="0.25">
      <c r="B7" s="6" t="s">
        <v>55</v>
      </c>
      <c r="C7" s="108" t="s">
        <v>199</v>
      </c>
      <c r="D7" s="82" t="s">
        <v>20</v>
      </c>
      <c r="E7" s="81">
        <f t="shared" si="0"/>
        <v>2</v>
      </c>
      <c r="F7" s="67">
        <f t="shared" si="0"/>
        <v>0</v>
      </c>
      <c r="G7" s="67">
        <f t="shared" si="0"/>
        <v>0</v>
      </c>
      <c r="H7" s="67">
        <f t="shared" si="0"/>
        <v>0</v>
      </c>
      <c r="I7" s="67">
        <f t="shared" si="0"/>
        <v>0</v>
      </c>
      <c r="J7" s="81">
        <f t="shared" si="0"/>
        <v>1</v>
      </c>
      <c r="K7" s="67">
        <f t="shared" si="0"/>
        <v>0</v>
      </c>
      <c r="L7" s="67">
        <f t="shared" si="0"/>
        <v>0</v>
      </c>
      <c r="M7" s="34">
        <f t="shared" si="1"/>
        <v>3</v>
      </c>
      <c r="N7" s="47">
        <f t="shared" si="2"/>
        <v>9.5571838165020703E-4</v>
      </c>
      <c r="O7" s="9">
        <v>2</v>
      </c>
      <c r="P7" s="34"/>
      <c r="Q7" s="34"/>
      <c r="R7" s="34"/>
      <c r="S7" s="34"/>
      <c r="T7" s="34"/>
      <c r="U7" s="34"/>
      <c r="V7" s="34"/>
      <c r="W7" s="34"/>
    </row>
    <row r="8" spans="1:23" s="9" customFormat="1" ht="15.75" x14ac:dyDescent="0.25">
      <c r="B8" s="6" t="s">
        <v>56</v>
      </c>
      <c r="C8" s="108" t="s">
        <v>200</v>
      </c>
      <c r="D8" s="82" t="s">
        <v>21</v>
      </c>
      <c r="E8" s="81">
        <f t="shared" si="0"/>
        <v>10</v>
      </c>
      <c r="F8" s="67">
        <f t="shared" si="0"/>
        <v>0</v>
      </c>
      <c r="G8" s="67">
        <f t="shared" si="0"/>
        <v>0</v>
      </c>
      <c r="H8" s="67">
        <f t="shared" si="0"/>
        <v>0</v>
      </c>
      <c r="I8" s="67">
        <f t="shared" si="0"/>
        <v>0</v>
      </c>
      <c r="J8" s="81">
        <f t="shared" si="0"/>
        <v>0</v>
      </c>
      <c r="K8" s="67">
        <f t="shared" si="0"/>
        <v>0</v>
      </c>
      <c r="L8" s="67">
        <f t="shared" si="0"/>
        <v>0</v>
      </c>
      <c r="M8" s="34">
        <f t="shared" si="1"/>
        <v>10</v>
      </c>
      <c r="N8" s="47">
        <f t="shared" si="2"/>
        <v>3.1857279388340237E-3</v>
      </c>
      <c r="O8" s="9">
        <v>1</v>
      </c>
      <c r="P8" s="34"/>
      <c r="Q8" s="34"/>
      <c r="R8" s="34"/>
      <c r="S8" s="34"/>
      <c r="T8" s="34"/>
      <c r="U8" s="34"/>
      <c r="V8" s="34"/>
      <c r="W8" s="34"/>
    </row>
    <row r="9" spans="1:23" s="9" customFormat="1" ht="15.75" x14ac:dyDescent="0.25">
      <c r="B9" s="6" t="s">
        <v>57</v>
      </c>
      <c r="C9" s="108" t="s">
        <v>201</v>
      </c>
      <c r="D9" s="82" t="s">
        <v>22</v>
      </c>
      <c r="E9" s="81">
        <f t="shared" si="0"/>
        <v>31</v>
      </c>
      <c r="F9" s="67">
        <f t="shared" si="0"/>
        <v>3</v>
      </c>
      <c r="G9" s="67">
        <f t="shared" si="0"/>
        <v>0</v>
      </c>
      <c r="H9" s="67">
        <f t="shared" si="0"/>
        <v>0</v>
      </c>
      <c r="I9" s="67">
        <f t="shared" si="0"/>
        <v>0</v>
      </c>
      <c r="J9" s="81">
        <f t="shared" si="0"/>
        <v>0</v>
      </c>
      <c r="K9" s="67">
        <f t="shared" si="0"/>
        <v>0</v>
      </c>
      <c r="L9" s="67">
        <f t="shared" si="0"/>
        <v>0</v>
      </c>
      <c r="M9" s="34">
        <f t="shared" si="1"/>
        <v>34</v>
      </c>
      <c r="N9" s="47">
        <f t="shared" si="2"/>
        <v>1.083147499203568E-2</v>
      </c>
      <c r="O9" s="9">
        <v>2</v>
      </c>
      <c r="P9" s="34"/>
      <c r="Q9" s="34"/>
      <c r="R9" s="34"/>
      <c r="S9" s="34"/>
      <c r="T9" s="34"/>
      <c r="U9" s="34"/>
      <c r="V9" s="34"/>
      <c r="W9" s="34"/>
    </row>
    <row r="10" spans="1:23" s="9" customFormat="1" ht="15.75" x14ac:dyDescent="0.25">
      <c r="B10" s="6" t="s">
        <v>79</v>
      </c>
      <c r="C10" s="108" t="s">
        <v>202</v>
      </c>
      <c r="D10" s="82" t="s">
        <v>31</v>
      </c>
      <c r="E10" s="81">
        <f t="shared" si="0"/>
        <v>17</v>
      </c>
      <c r="F10" s="67">
        <f t="shared" si="0"/>
        <v>0</v>
      </c>
      <c r="G10" s="67">
        <f t="shared" si="0"/>
        <v>2</v>
      </c>
      <c r="H10" s="67">
        <f t="shared" si="0"/>
        <v>0</v>
      </c>
      <c r="I10" s="67">
        <f t="shared" si="0"/>
        <v>0</v>
      </c>
      <c r="J10" s="81">
        <f t="shared" si="0"/>
        <v>0</v>
      </c>
      <c r="K10" s="67">
        <f t="shared" si="0"/>
        <v>0</v>
      </c>
      <c r="L10" s="67">
        <f t="shared" si="0"/>
        <v>0</v>
      </c>
      <c r="M10" s="34">
        <f t="shared" si="1"/>
        <v>19</v>
      </c>
      <c r="N10" s="47">
        <f t="shared" si="2"/>
        <v>6.0528830837846444E-3</v>
      </c>
      <c r="O10" s="9">
        <v>1</v>
      </c>
      <c r="P10" s="34"/>
      <c r="Q10" s="34"/>
      <c r="R10" s="34"/>
      <c r="S10" s="34"/>
      <c r="T10" s="34"/>
      <c r="U10" s="34"/>
      <c r="V10" s="34"/>
      <c r="W10" s="34"/>
    </row>
    <row r="11" spans="1:23" s="9" customFormat="1" ht="15.75" x14ac:dyDescent="0.25">
      <c r="B11" s="6" t="s">
        <v>67</v>
      </c>
      <c r="C11" s="108" t="s">
        <v>203</v>
      </c>
      <c r="D11" s="82" t="s">
        <v>33</v>
      </c>
      <c r="E11" s="81">
        <f t="shared" si="0"/>
        <v>16</v>
      </c>
      <c r="F11" s="67">
        <f t="shared" si="0"/>
        <v>0</v>
      </c>
      <c r="G11" s="67">
        <f t="shared" si="0"/>
        <v>0</v>
      </c>
      <c r="H11" s="67">
        <f t="shared" si="0"/>
        <v>0</v>
      </c>
      <c r="I11" s="67">
        <f t="shared" si="0"/>
        <v>0</v>
      </c>
      <c r="J11" s="81">
        <f t="shared" si="0"/>
        <v>0</v>
      </c>
      <c r="K11" s="67">
        <f t="shared" si="0"/>
        <v>0</v>
      </c>
      <c r="L11" s="67">
        <f t="shared" si="0"/>
        <v>0</v>
      </c>
      <c r="M11" s="34">
        <f t="shared" si="1"/>
        <v>16</v>
      </c>
      <c r="N11" s="47">
        <f t="shared" si="2"/>
        <v>5.0971647021344378E-3</v>
      </c>
      <c r="O11" s="9">
        <v>1</v>
      </c>
      <c r="P11" s="34"/>
      <c r="Q11" s="34"/>
      <c r="R11" s="34"/>
      <c r="S11" s="34"/>
      <c r="T11" s="34"/>
      <c r="U11" s="34"/>
      <c r="V11" s="34"/>
      <c r="W11" s="34"/>
    </row>
    <row r="12" spans="1:23" s="9" customFormat="1" ht="15.75" x14ac:dyDescent="0.25">
      <c r="B12" s="6" t="s">
        <v>69</v>
      </c>
      <c r="C12" s="108" t="s">
        <v>204</v>
      </c>
      <c r="D12" s="82" t="s">
        <v>38</v>
      </c>
      <c r="E12" s="81">
        <f t="shared" si="0"/>
        <v>0</v>
      </c>
      <c r="F12" s="67">
        <f t="shared" si="0"/>
        <v>0</v>
      </c>
      <c r="G12" s="67">
        <f t="shared" si="0"/>
        <v>0</v>
      </c>
      <c r="H12" s="67">
        <f t="shared" si="0"/>
        <v>0</v>
      </c>
      <c r="I12" s="67">
        <f t="shared" si="0"/>
        <v>0</v>
      </c>
      <c r="J12" s="81">
        <f t="shared" si="0"/>
        <v>0</v>
      </c>
      <c r="K12" s="67">
        <f t="shared" si="0"/>
        <v>0</v>
      </c>
      <c r="L12" s="67">
        <f t="shared" si="0"/>
        <v>0</v>
      </c>
      <c r="M12" s="34">
        <f t="shared" si="1"/>
        <v>0</v>
      </c>
      <c r="N12" s="47">
        <f t="shared" si="2"/>
        <v>0</v>
      </c>
      <c r="P12" s="34"/>
      <c r="Q12" s="34"/>
      <c r="R12" s="34"/>
      <c r="S12" s="34"/>
      <c r="T12" s="34"/>
      <c r="U12" s="34"/>
      <c r="V12" s="34"/>
      <c r="W12" s="34"/>
    </row>
    <row r="13" spans="1:23" s="9" customFormat="1" ht="15.75" x14ac:dyDescent="0.25">
      <c r="B13" s="6" t="s">
        <v>71</v>
      </c>
      <c r="C13" s="108" t="s">
        <v>205</v>
      </c>
      <c r="D13" s="82" t="s">
        <v>41</v>
      </c>
      <c r="E13" s="81">
        <f t="shared" si="0"/>
        <v>4</v>
      </c>
      <c r="F13" s="67">
        <f t="shared" si="0"/>
        <v>0</v>
      </c>
      <c r="G13" s="67">
        <f t="shared" si="0"/>
        <v>0</v>
      </c>
      <c r="H13" s="67">
        <f t="shared" si="0"/>
        <v>0</v>
      </c>
      <c r="I13" s="67">
        <f t="shared" si="0"/>
        <v>0</v>
      </c>
      <c r="J13" s="81">
        <f t="shared" si="0"/>
        <v>0</v>
      </c>
      <c r="K13" s="67">
        <f t="shared" si="0"/>
        <v>0</v>
      </c>
      <c r="L13" s="67">
        <f t="shared" si="0"/>
        <v>0</v>
      </c>
      <c r="M13" s="34">
        <f t="shared" si="1"/>
        <v>4</v>
      </c>
      <c r="N13" s="47">
        <f t="shared" si="2"/>
        <v>1.2742911755336094E-3</v>
      </c>
      <c r="O13" s="9">
        <v>1</v>
      </c>
      <c r="P13" s="34"/>
      <c r="Q13" s="34"/>
      <c r="R13" s="34"/>
      <c r="S13" s="34"/>
      <c r="T13" s="34"/>
      <c r="U13" s="34"/>
      <c r="V13" s="34"/>
      <c r="W13" s="34"/>
    </row>
    <row r="14" spans="1:23" s="9" customFormat="1" ht="15.75" x14ac:dyDescent="0.25">
      <c r="B14" s="6" t="s">
        <v>73</v>
      </c>
      <c r="C14" s="108" t="s">
        <v>206</v>
      </c>
      <c r="D14" s="82" t="s">
        <v>43</v>
      </c>
      <c r="E14" s="81">
        <f t="shared" ref="E14:L23" si="3">+E58+E102+E146+E190</f>
        <v>8</v>
      </c>
      <c r="F14" s="67">
        <f t="shared" si="3"/>
        <v>0</v>
      </c>
      <c r="G14" s="67">
        <f t="shared" si="3"/>
        <v>0</v>
      </c>
      <c r="H14" s="67">
        <f t="shared" si="3"/>
        <v>0</v>
      </c>
      <c r="I14" s="67">
        <f t="shared" si="3"/>
        <v>0</v>
      </c>
      <c r="J14" s="81">
        <f t="shared" si="3"/>
        <v>0</v>
      </c>
      <c r="K14" s="67">
        <f t="shared" si="3"/>
        <v>0</v>
      </c>
      <c r="L14" s="67">
        <f t="shared" si="3"/>
        <v>0</v>
      </c>
      <c r="M14" s="34">
        <f t="shared" si="1"/>
        <v>8</v>
      </c>
      <c r="N14" s="47">
        <f t="shared" si="2"/>
        <v>2.5485823510672189E-3</v>
      </c>
      <c r="O14" s="9">
        <v>1</v>
      </c>
      <c r="P14" s="34"/>
      <c r="Q14" s="34"/>
      <c r="R14" s="34"/>
      <c r="S14" s="34"/>
      <c r="T14" s="34"/>
      <c r="U14" s="34"/>
      <c r="V14" s="34"/>
      <c r="W14" s="34"/>
    </row>
    <row r="15" spans="1:23" s="9" customFormat="1" ht="15.75" x14ac:dyDescent="0.25">
      <c r="B15" s="6" t="s">
        <v>61</v>
      </c>
      <c r="C15" s="108" t="s">
        <v>196</v>
      </c>
      <c r="D15" s="6" t="s">
        <v>26</v>
      </c>
      <c r="E15" s="67">
        <f t="shared" si="3"/>
        <v>0</v>
      </c>
      <c r="F15" s="67">
        <f t="shared" si="3"/>
        <v>0</v>
      </c>
      <c r="G15" s="67">
        <f t="shared" si="3"/>
        <v>0</v>
      </c>
      <c r="H15" s="67">
        <f t="shared" si="3"/>
        <v>0</v>
      </c>
      <c r="I15" s="67">
        <f t="shared" si="3"/>
        <v>13</v>
      </c>
      <c r="J15" s="67">
        <f t="shared" si="3"/>
        <v>0</v>
      </c>
      <c r="K15" s="67">
        <f t="shared" si="3"/>
        <v>24</v>
      </c>
      <c r="L15" s="67">
        <f t="shared" si="3"/>
        <v>0</v>
      </c>
      <c r="M15" s="34">
        <f t="shared" si="1"/>
        <v>37</v>
      </c>
      <c r="N15" s="47">
        <f t="shared" si="2"/>
        <v>1.1787193373685887E-2</v>
      </c>
      <c r="O15" s="9">
        <v>2</v>
      </c>
      <c r="P15" s="34"/>
      <c r="Q15" s="34"/>
      <c r="R15" s="34"/>
      <c r="S15" s="34"/>
      <c r="T15" s="34"/>
      <c r="U15" s="34"/>
      <c r="V15" s="34"/>
      <c r="W15" s="34"/>
    </row>
    <row r="16" spans="1:23" s="9" customFormat="1" ht="15.75" x14ac:dyDescent="0.25">
      <c r="B16" s="6" t="s">
        <v>48</v>
      </c>
      <c r="C16" s="108" t="s">
        <v>207</v>
      </c>
      <c r="D16" s="6" t="s">
        <v>12</v>
      </c>
      <c r="E16" s="67">
        <f t="shared" si="3"/>
        <v>43</v>
      </c>
      <c r="F16" s="67">
        <f t="shared" si="3"/>
        <v>0</v>
      </c>
      <c r="G16" s="67">
        <f t="shared" si="3"/>
        <v>0</v>
      </c>
      <c r="H16" s="67">
        <f t="shared" si="3"/>
        <v>0</v>
      </c>
      <c r="I16" s="67">
        <f t="shared" si="3"/>
        <v>0</v>
      </c>
      <c r="J16" s="67">
        <f t="shared" si="3"/>
        <v>0</v>
      </c>
      <c r="K16" s="67">
        <f t="shared" si="3"/>
        <v>0</v>
      </c>
      <c r="L16" s="67">
        <f t="shared" si="3"/>
        <v>0</v>
      </c>
      <c r="M16" s="34">
        <f t="shared" si="1"/>
        <v>43</v>
      </c>
      <c r="N16" s="47">
        <f t="shared" si="2"/>
        <v>1.3698630136986301E-2</v>
      </c>
      <c r="O16" s="9">
        <v>1</v>
      </c>
      <c r="P16" s="34"/>
      <c r="Q16" s="34"/>
      <c r="R16" s="34"/>
      <c r="S16" s="34"/>
      <c r="T16" s="34"/>
      <c r="U16" s="34"/>
      <c r="V16" s="34"/>
      <c r="W16" s="34"/>
    </row>
    <row r="17" spans="2:23" s="9" customFormat="1" ht="15.75" x14ac:dyDescent="0.25">
      <c r="B17" s="6" t="s">
        <v>77</v>
      </c>
      <c r="C17" s="108" t="s">
        <v>208</v>
      </c>
      <c r="D17" s="20" t="s">
        <v>13</v>
      </c>
      <c r="E17" s="67">
        <f t="shared" si="3"/>
        <v>0</v>
      </c>
      <c r="F17" s="67">
        <f t="shared" si="3"/>
        <v>116</v>
      </c>
      <c r="G17" s="67">
        <f t="shared" si="3"/>
        <v>5</v>
      </c>
      <c r="H17" s="67">
        <f t="shared" si="3"/>
        <v>0</v>
      </c>
      <c r="I17" s="67">
        <f t="shared" si="3"/>
        <v>0</v>
      </c>
      <c r="J17" s="67">
        <f t="shared" si="3"/>
        <v>0</v>
      </c>
      <c r="K17" s="67">
        <f t="shared" si="3"/>
        <v>0</v>
      </c>
      <c r="L17" s="67">
        <f t="shared" si="3"/>
        <v>0</v>
      </c>
      <c r="M17" s="34">
        <f t="shared" si="1"/>
        <v>121</v>
      </c>
      <c r="N17" s="47">
        <f t="shared" si="2"/>
        <v>3.8547308059891684E-2</v>
      </c>
      <c r="O17" s="9">
        <v>3</v>
      </c>
      <c r="P17" s="34"/>
      <c r="Q17" s="34"/>
      <c r="R17" s="34"/>
      <c r="S17" s="34"/>
      <c r="T17" s="34"/>
      <c r="U17" s="34"/>
      <c r="V17" s="34"/>
      <c r="W17" s="34"/>
    </row>
    <row r="18" spans="2:23" s="9" customFormat="1" ht="15.75" x14ac:dyDescent="0.25">
      <c r="B18" s="6" t="s">
        <v>49</v>
      </c>
      <c r="C18" s="108" t="s">
        <v>209</v>
      </c>
      <c r="D18" s="6" t="s">
        <v>14</v>
      </c>
      <c r="E18" s="67">
        <f t="shared" si="3"/>
        <v>1</v>
      </c>
      <c r="F18" s="67">
        <f t="shared" si="3"/>
        <v>0</v>
      </c>
      <c r="G18" s="67">
        <f t="shared" si="3"/>
        <v>0</v>
      </c>
      <c r="H18" s="67">
        <f t="shared" si="3"/>
        <v>0</v>
      </c>
      <c r="I18" s="67">
        <f t="shared" si="3"/>
        <v>0</v>
      </c>
      <c r="J18" s="67">
        <f t="shared" si="3"/>
        <v>0</v>
      </c>
      <c r="K18" s="67">
        <f t="shared" si="3"/>
        <v>0</v>
      </c>
      <c r="L18" s="67">
        <f t="shared" si="3"/>
        <v>0</v>
      </c>
      <c r="M18" s="34">
        <f t="shared" si="1"/>
        <v>1</v>
      </c>
      <c r="N18" s="47">
        <f t="shared" si="2"/>
        <v>3.1857279388340236E-4</v>
      </c>
      <c r="O18" s="9">
        <v>1</v>
      </c>
      <c r="P18" s="34"/>
      <c r="Q18" s="34"/>
      <c r="R18" s="34"/>
      <c r="S18" s="34"/>
      <c r="T18" s="34"/>
      <c r="U18" s="34"/>
      <c r="V18" s="34"/>
      <c r="W18" s="34"/>
    </row>
    <row r="19" spans="2:23" s="9" customFormat="1" ht="15.75" x14ac:dyDescent="0.25">
      <c r="B19" s="6" t="s">
        <v>50</v>
      </c>
      <c r="C19" s="108" t="s">
        <v>210</v>
      </c>
      <c r="D19" s="6" t="s">
        <v>15</v>
      </c>
      <c r="E19" s="67">
        <f t="shared" si="3"/>
        <v>88</v>
      </c>
      <c r="F19" s="67">
        <f t="shared" si="3"/>
        <v>49</v>
      </c>
      <c r="G19" s="67">
        <f t="shared" si="3"/>
        <v>12</v>
      </c>
      <c r="H19" s="67">
        <f t="shared" si="3"/>
        <v>0</v>
      </c>
      <c r="I19" s="67">
        <f t="shared" si="3"/>
        <v>0</v>
      </c>
      <c r="J19" s="67">
        <f t="shared" si="3"/>
        <v>0</v>
      </c>
      <c r="K19" s="67">
        <f t="shared" si="3"/>
        <v>0</v>
      </c>
      <c r="L19" s="67">
        <f t="shared" si="3"/>
        <v>0</v>
      </c>
      <c r="M19" s="34">
        <f t="shared" si="1"/>
        <v>149</v>
      </c>
      <c r="N19" s="47">
        <f t="shared" si="2"/>
        <v>4.7467346288626949E-2</v>
      </c>
      <c r="O19" s="9">
        <v>3</v>
      </c>
      <c r="P19" s="34"/>
      <c r="Q19" s="34"/>
      <c r="R19" s="34"/>
      <c r="S19" s="34"/>
      <c r="T19" s="34"/>
      <c r="U19" s="34"/>
      <c r="V19" s="34"/>
      <c r="W19" s="34"/>
    </row>
    <row r="20" spans="2:23" s="9" customFormat="1" ht="15.75" x14ac:dyDescent="0.25">
      <c r="B20" s="6" t="s">
        <v>51</v>
      </c>
      <c r="C20" s="108" t="s">
        <v>211</v>
      </c>
      <c r="D20" s="6" t="s">
        <v>16</v>
      </c>
      <c r="E20" s="67">
        <f t="shared" si="3"/>
        <v>0</v>
      </c>
      <c r="F20" s="67">
        <f t="shared" si="3"/>
        <v>6</v>
      </c>
      <c r="G20" s="67">
        <f t="shared" si="3"/>
        <v>5</v>
      </c>
      <c r="H20" s="67">
        <f t="shared" si="3"/>
        <v>0</v>
      </c>
      <c r="I20" s="67">
        <f t="shared" si="3"/>
        <v>0</v>
      </c>
      <c r="J20" s="67">
        <f t="shared" si="3"/>
        <v>0</v>
      </c>
      <c r="K20" s="67">
        <f t="shared" si="3"/>
        <v>45</v>
      </c>
      <c r="L20" s="67">
        <f t="shared" si="3"/>
        <v>0</v>
      </c>
      <c r="M20" s="34">
        <f t="shared" si="1"/>
        <v>56</v>
      </c>
      <c r="N20" s="47">
        <f t="shared" si="2"/>
        <v>1.7840076457470534E-2</v>
      </c>
      <c r="O20" s="9">
        <v>2</v>
      </c>
      <c r="P20" s="34"/>
      <c r="Q20" s="34"/>
      <c r="R20" s="34"/>
      <c r="S20" s="34"/>
      <c r="T20" s="34"/>
      <c r="U20" s="34"/>
      <c r="V20" s="34"/>
      <c r="W20" s="34"/>
    </row>
    <row r="21" spans="2:23" s="9" customFormat="1" ht="15.75" x14ac:dyDescent="0.25">
      <c r="B21" s="6" t="s">
        <v>52</v>
      </c>
      <c r="C21" s="108" t="s">
        <v>212</v>
      </c>
      <c r="D21" s="6" t="s">
        <v>17</v>
      </c>
      <c r="E21" s="67">
        <f t="shared" si="3"/>
        <v>0</v>
      </c>
      <c r="F21" s="67">
        <f t="shared" si="3"/>
        <v>0</v>
      </c>
      <c r="G21" s="67">
        <f t="shared" si="3"/>
        <v>6</v>
      </c>
      <c r="H21" s="67">
        <f t="shared" si="3"/>
        <v>0</v>
      </c>
      <c r="I21" s="67">
        <f t="shared" si="3"/>
        <v>0</v>
      </c>
      <c r="J21" s="67">
        <f t="shared" si="3"/>
        <v>0</v>
      </c>
      <c r="K21" s="67">
        <f t="shared" si="3"/>
        <v>0</v>
      </c>
      <c r="L21" s="67">
        <f t="shared" si="3"/>
        <v>0</v>
      </c>
      <c r="M21" s="34">
        <f t="shared" si="1"/>
        <v>6</v>
      </c>
      <c r="N21" s="47">
        <f t="shared" si="2"/>
        <v>1.9114367633004141E-3</v>
      </c>
      <c r="O21" s="9">
        <v>2</v>
      </c>
      <c r="P21" s="34"/>
      <c r="Q21" s="34"/>
      <c r="R21" s="34"/>
      <c r="S21" s="34"/>
      <c r="T21" s="34"/>
      <c r="U21" s="34"/>
      <c r="V21" s="34"/>
      <c r="W21" s="34"/>
    </row>
    <row r="22" spans="2:23" s="9" customFormat="1" ht="15.75" x14ac:dyDescent="0.25">
      <c r="B22" s="6" t="s">
        <v>54</v>
      </c>
      <c r="C22" s="108" t="s">
        <v>214</v>
      </c>
      <c r="D22" s="6" t="s">
        <v>19</v>
      </c>
      <c r="E22" s="67">
        <f t="shared" si="3"/>
        <v>0</v>
      </c>
      <c r="F22" s="67">
        <f t="shared" si="3"/>
        <v>19</v>
      </c>
      <c r="G22" s="67">
        <f t="shared" si="3"/>
        <v>0</v>
      </c>
      <c r="H22" s="67">
        <f t="shared" si="3"/>
        <v>0</v>
      </c>
      <c r="I22" s="67">
        <f t="shared" si="3"/>
        <v>0</v>
      </c>
      <c r="J22" s="67">
        <f t="shared" si="3"/>
        <v>0</v>
      </c>
      <c r="K22" s="67">
        <f t="shared" si="3"/>
        <v>0</v>
      </c>
      <c r="L22" s="67">
        <f t="shared" si="3"/>
        <v>0</v>
      </c>
      <c r="M22" s="34">
        <f t="shared" si="1"/>
        <v>19</v>
      </c>
      <c r="N22" s="47">
        <f t="shared" si="2"/>
        <v>6.0528830837846444E-3</v>
      </c>
      <c r="O22" s="9">
        <v>2</v>
      </c>
      <c r="P22" s="34"/>
      <c r="Q22" s="34"/>
      <c r="R22" s="34"/>
      <c r="S22" s="34"/>
      <c r="T22" s="34"/>
      <c r="U22" s="34"/>
      <c r="V22" s="34"/>
      <c r="W22" s="34"/>
    </row>
    <row r="23" spans="2:23" s="9" customFormat="1" ht="15.75" x14ac:dyDescent="0.25">
      <c r="B23" s="6" t="s">
        <v>58</v>
      </c>
      <c r="C23" s="108" t="s">
        <v>232</v>
      </c>
      <c r="D23" s="6" t="s">
        <v>23</v>
      </c>
      <c r="E23" s="67">
        <f t="shared" si="3"/>
        <v>0</v>
      </c>
      <c r="F23" s="67">
        <f t="shared" si="3"/>
        <v>0</v>
      </c>
      <c r="G23" s="67">
        <f t="shared" si="3"/>
        <v>0</v>
      </c>
      <c r="H23" s="67">
        <f t="shared" si="3"/>
        <v>0</v>
      </c>
      <c r="I23" s="67">
        <f t="shared" si="3"/>
        <v>0</v>
      </c>
      <c r="J23" s="67">
        <f t="shared" si="3"/>
        <v>6</v>
      </c>
      <c r="K23" s="67">
        <f t="shared" si="3"/>
        <v>0</v>
      </c>
      <c r="L23" s="67">
        <f t="shared" si="3"/>
        <v>0</v>
      </c>
      <c r="M23" s="34">
        <f t="shared" si="1"/>
        <v>6</v>
      </c>
      <c r="N23" s="47">
        <f t="shared" si="2"/>
        <v>1.9114367633004141E-3</v>
      </c>
      <c r="O23" s="9">
        <v>2</v>
      </c>
      <c r="P23" s="34"/>
      <c r="Q23" s="34"/>
      <c r="R23" s="34"/>
      <c r="S23" s="34"/>
      <c r="T23" s="34"/>
      <c r="U23" s="34"/>
      <c r="V23" s="34"/>
      <c r="W23" s="34"/>
    </row>
    <row r="24" spans="2:23" s="9" customFormat="1" ht="15.75" x14ac:dyDescent="0.25">
      <c r="B24" s="6" t="s">
        <v>59</v>
      </c>
      <c r="C24" s="108" t="s">
        <v>215</v>
      </c>
      <c r="D24" s="6" t="s">
        <v>24</v>
      </c>
      <c r="E24" s="67">
        <f t="shared" ref="E24:L33" si="4">+E68+E112+E156+E200</f>
        <v>2</v>
      </c>
      <c r="F24" s="67">
        <f t="shared" si="4"/>
        <v>377</v>
      </c>
      <c r="G24" s="67">
        <f t="shared" si="4"/>
        <v>3</v>
      </c>
      <c r="H24" s="67">
        <f t="shared" si="4"/>
        <v>0</v>
      </c>
      <c r="I24" s="67">
        <f t="shared" si="4"/>
        <v>0</v>
      </c>
      <c r="J24" s="67">
        <f t="shared" si="4"/>
        <v>0</v>
      </c>
      <c r="K24" s="67">
        <f t="shared" si="4"/>
        <v>0</v>
      </c>
      <c r="L24" s="67">
        <f t="shared" si="4"/>
        <v>0</v>
      </c>
      <c r="M24" s="34">
        <f t="shared" si="1"/>
        <v>382</v>
      </c>
      <c r="N24" s="47">
        <f t="shared" si="2"/>
        <v>0.1216948072634597</v>
      </c>
      <c r="O24" s="9">
        <v>2</v>
      </c>
      <c r="P24" s="34"/>
      <c r="Q24" s="34"/>
      <c r="R24" s="34"/>
      <c r="S24" s="34"/>
      <c r="T24" s="34"/>
      <c r="U24" s="34"/>
      <c r="V24" s="34"/>
      <c r="W24" s="34"/>
    </row>
    <row r="25" spans="2:23" s="9" customFormat="1" ht="15.75" x14ac:dyDescent="0.25">
      <c r="B25" s="6" t="s">
        <v>60</v>
      </c>
      <c r="C25" s="108" t="s">
        <v>216</v>
      </c>
      <c r="D25" s="6" t="s">
        <v>25</v>
      </c>
      <c r="E25" s="67">
        <f t="shared" si="4"/>
        <v>0</v>
      </c>
      <c r="F25" s="67">
        <f t="shared" si="4"/>
        <v>8</v>
      </c>
      <c r="G25" s="67">
        <f t="shared" si="4"/>
        <v>0</v>
      </c>
      <c r="H25" s="67">
        <f t="shared" si="4"/>
        <v>0</v>
      </c>
      <c r="I25" s="67">
        <f t="shared" si="4"/>
        <v>48</v>
      </c>
      <c r="J25" s="67">
        <f t="shared" si="4"/>
        <v>0</v>
      </c>
      <c r="K25" s="67">
        <f t="shared" si="4"/>
        <v>0</v>
      </c>
      <c r="L25" s="67">
        <f t="shared" si="4"/>
        <v>0</v>
      </c>
      <c r="M25" s="34">
        <f t="shared" si="1"/>
        <v>56</v>
      </c>
      <c r="N25" s="47">
        <f t="shared" si="2"/>
        <v>1.7840076457470534E-2</v>
      </c>
      <c r="O25" s="9">
        <v>3</v>
      </c>
      <c r="P25" s="34"/>
      <c r="Q25" s="34"/>
      <c r="R25" s="34"/>
      <c r="S25" s="34"/>
      <c r="T25" s="34"/>
      <c r="U25" s="34"/>
      <c r="V25" s="34"/>
      <c r="W25" s="34"/>
    </row>
    <row r="26" spans="2:23" s="9" customFormat="1" ht="15.75" x14ac:dyDescent="0.25">
      <c r="B26" s="6" t="s">
        <v>78</v>
      </c>
      <c r="C26" s="108" t="s">
        <v>217</v>
      </c>
      <c r="D26" s="6" t="s">
        <v>195</v>
      </c>
      <c r="E26" s="67">
        <f t="shared" si="4"/>
        <v>0</v>
      </c>
      <c r="F26" s="67">
        <f t="shared" si="4"/>
        <v>0</v>
      </c>
      <c r="G26" s="67">
        <f t="shared" si="4"/>
        <v>0</v>
      </c>
      <c r="H26" s="67">
        <f t="shared" si="4"/>
        <v>440</v>
      </c>
      <c r="I26" s="67">
        <f t="shared" si="4"/>
        <v>0</v>
      </c>
      <c r="J26" s="67">
        <f t="shared" si="4"/>
        <v>0</v>
      </c>
      <c r="K26" s="67">
        <f t="shared" si="4"/>
        <v>0</v>
      </c>
      <c r="L26" s="67">
        <f t="shared" si="4"/>
        <v>0</v>
      </c>
      <c r="M26" s="34">
        <f t="shared" si="1"/>
        <v>440</v>
      </c>
      <c r="N26" s="47">
        <f t="shared" si="2"/>
        <v>0.14017202930869704</v>
      </c>
      <c r="O26" s="9">
        <v>2</v>
      </c>
      <c r="P26" s="34"/>
      <c r="Q26" s="34"/>
      <c r="R26" s="34"/>
      <c r="S26" s="34"/>
      <c r="T26" s="34"/>
      <c r="U26" s="34"/>
      <c r="V26" s="34"/>
      <c r="W26" s="34"/>
    </row>
    <row r="27" spans="2:23" s="9" customFormat="1" ht="15.75" x14ac:dyDescent="0.25">
      <c r="B27" s="6" t="s">
        <v>64</v>
      </c>
      <c r="C27" s="108" t="s">
        <v>218</v>
      </c>
      <c r="D27" s="6" t="s">
        <v>29</v>
      </c>
      <c r="E27" s="67">
        <f t="shared" si="4"/>
        <v>156</v>
      </c>
      <c r="F27" s="67">
        <f t="shared" si="4"/>
        <v>275</v>
      </c>
      <c r="G27" s="67">
        <f t="shared" si="4"/>
        <v>10</v>
      </c>
      <c r="H27" s="67">
        <f t="shared" si="4"/>
        <v>0</v>
      </c>
      <c r="I27" s="67">
        <f t="shared" si="4"/>
        <v>0</v>
      </c>
      <c r="J27" s="67">
        <f t="shared" si="4"/>
        <v>0</v>
      </c>
      <c r="K27" s="67">
        <f t="shared" si="4"/>
        <v>0</v>
      </c>
      <c r="L27" s="67">
        <f t="shared" si="4"/>
        <v>0</v>
      </c>
      <c r="M27" s="34">
        <f t="shared" si="1"/>
        <v>441</v>
      </c>
      <c r="N27" s="47">
        <f t="shared" si="2"/>
        <v>0.14049060210258044</v>
      </c>
      <c r="O27" s="9">
        <v>3</v>
      </c>
      <c r="P27" s="34"/>
      <c r="Q27" s="34"/>
      <c r="R27" s="34"/>
      <c r="S27" s="34"/>
      <c r="T27" s="34"/>
      <c r="U27" s="34"/>
      <c r="V27" s="34"/>
      <c r="W27" s="34"/>
    </row>
    <row r="28" spans="2:23" s="9" customFormat="1" ht="15.75" x14ac:dyDescent="0.25">
      <c r="B28" s="6" t="s">
        <v>65</v>
      </c>
      <c r="C28" s="108" t="s">
        <v>219</v>
      </c>
      <c r="D28" s="6" t="s">
        <v>30</v>
      </c>
      <c r="E28" s="67">
        <f t="shared" si="4"/>
        <v>24</v>
      </c>
      <c r="F28" s="67">
        <f t="shared" si="4"/>
        <v>0</v>
      </c>
      <c r="G28" s="67">
        <f t="shared" si="4"/>
        <v>0</v>
      </c>
      <c r="H28" s="67">
        <f t="shared" si="4"/>
        <v>0</v>
      </c>
      <c r="I28" s="67">
        <f t="shared" si="4"/>
        <v>0</v>
      </c>
      <c r="J28" s="67">
        <f t="shared" si="4"/>
        <v>0</v>
      </c>
      <c r="K28" s="67">
        <f t="shared" si="4"/>
        <v>0</v>
      </c>
      <c r="L28" s="67">
        <f t="shared" si="4"/>
        <v>0</v>
      </c>
      <c r="M28" s="34">
        <f t="shared" si="1"/>
        <v>24</v>
      </c>
      <c r="N28" s="47">
        <f t="shared" si="2"/>
        <v>7.6457470532016562E-3</v>
      </c>
      <c r="O28" s="9">
        <v>1</v>
      </c>
      <c r="P28" s="34"/>
      <c r="Q28" s="34"/>
      <c r="R28" s="34"/>
      <c r="S28" s="34"/>
      <c r="T28" s="34"/>
      <c r="U28" s="34"/>
      <c r="V28" s="34"/>
      <c r="W28" s="34"/>
    </row>
    <row r="29" spans="2:23" s="9" customFormat="1" ht="15.75" x14ac:dyDescent="0.25">
      <c r="B29" s="6" t="s">
        <v>66</v>
      </c>
      <c r="C29" s="108" t="s">
        <v>220</v>
      </c>
      <c r="D29" s="6" t="s">
        <v>32</v>
      </c>
      <c r="E29" s="67">
        <f t="shared" si="4"/>
        <v>0</v>
      </c>
      <c r="F29" s="67">
        <f t="shared" si="4"/>
        <v>0</v>
      </c>
      <c r="G29" s="67">
        <f t="shared" si="4"/>
        <v>4</v>
      </c>
      <c r="H29" s="67">
        <f t="shared" si="4"/>
        <v>0</v>
      </c>
      <c r="I29" s="67">
        <f t="shared" si="4"/>
        <v>0</v>
      </c>
      <c r="J29" s="67">
        <f t="shared" si="4"/>
        <v>0</v>
      </c>
      <c r="K29" s="67">
        <f t="shared" si="4"/>
        <v>0</v>
      </c>
      <c r="L29" s="67">
        <f t="shared" si="4"/>
        <v>0</v>
      </c>
      <c r="M29" s="34">
        <f t="shared" si="1"/>
        <v>4</v>
      </c>
      <c r="N29" s="47">
        <f t="shared" si="2"/>
        <v>1.2742911755336094E-3</v>
      </c>
      <c r="O29" s="9">
        <v>1</v>
      </c>
      <c r="P29" s="34"/>
      <c r="Q29" s="34"/>
      <c r="R29" s="34"/>
      <c r="S29" s="34"/>
      <c r="T29" s="34"/>
      <c r="U29" s="34"/>
      <c r="V29" s="34"/>
      <c r="W29" s="34"/>
    </row>
    <row r="30" spans="2:23" s="9" customFormat="1" ht="15.75" x14ac:dyDescent="0.25">
      <c r="B30" s="20" t="s">
        <v>80</v>
      </c>
      <c r="C30" s="108" t="s">
        <v>221</v>
      </c>
      <c r="D30" s="20" t="s">
        <v>34</v>
      </c>
      <c r="E30" s="67">
        <f t="shared" si="4"/>
        <v>0</v>
      </c>
      <c r="F30" s="67">
        <f t="shared" si="4"/>
        <v>1</v>
      </c>
      <c r="G30" s="67">
        <f t="shared" si="4"/>
        <v>1</v>
      </c>
      <c r="H30" s="67">
        <f t="shared" si="4"/>
        <v>0</v>
      </c>
      <c r="I30" s="67">
        <f t="shared" si="4"/>
        <v>0</v>
      </c>
      <c r="J30" s="67">
        <f t="shared" si="4"/>
        <v>0</v>
      </c>
      <c r="K30" s="67">
        <f t="shared" si="4"/>
        <v>52</v>
      </c>
      <c r="L30" s="67">
        <f t="shared" si="4"/>
        <v>0</v>
      </c>
      <c r="M30" s="34">
        <f t="shared" si="1"/>
        <v>54</v>
      </c>
      <c r="N30" s="47">
        <f t="shared" si="2"/>
        <v>1.7202930869703727E-2</v>
      </c>
      <c r="O30" s="9">
        <v>3</v>
      </c>
      <c r="P30" s="34"/>
      <c r="Q30" s="34"/>
      <c r="R30" s="34"/>
      <c r="S30" s="34"/>
      <c r="T30" s="34"/>
      <c r="U30" s="34"/>
      <c r="V30" s="34"/>
      <c r="W30" s="34"/>
    </row>
    <row r="31" spans="2:23" s="9" customFormat="1" ht="15.75" x14ac:dyDescent="0.25">
      <c r="B31" s="20" t="s">
        <v>81</v>
      </c>
      <c r="C31" s="108" t="s">
        <v>222</v>
      </c>
      <c r="D31" s="20" t="s">
        <v>35</v>
      </c>
      <c r="E31" s="67">
        <f t="shared" si="4"/>
        <v>0</v>
      </c>
      <c r="F31" s="67">
        <f t="shared" si="4"/>
        <v>234</v>
      </c>
      <c r="G31" s="67">
        <f t="shared" si="4"/>
        <v>0</v>
      </c>
      <c r="H31" s="67">
        <f t="shared" si="4"/>
        <v>0</v>
      </c>
      <c r="I31" s="67">
        <f t="shared" si="4"/>
        <v>0</v>
      </c>
      <c r="J31" s="67">
        <f t="shared" si="4"/>
        <v>0</v>
      </c>
      <c r="K31" s="67">
        <f t="shared" si="4"/>
        <v>0</v>
      </c>
      <c r="L31" s="67">
        <f t="shared" si="4"/>
        <v>0</v>
      </c>
      <c r="M31" s="34">
        <f t="shared" si="1"/>
        <v>234</v>
      </c>
      <c r="N31" s="47">
        <f t="shared" si="2"/>
        <v>7.4546033768716158E-2</v>
      </c>
      <c r="O31" s="9">
        <v>1</v>
      </c>
      <c r="P31" s="34"/>
      <c r="Q31" s="34"/>
      <c r="R31" s="34"/>
      <c r="S31" s="34"/>
      <c r="T31" s="34"/>
      <c r="U31" s="34"/>
      <c r="V31" s="34"/>
      <c r="W31" s="34"/>
    </row>
    <row r="32" spans="2:23" s="9" customFormat="1" ht="15.75" x14ac:dyDescent="0.25">
      <c r="B32" s="20" t="s">
        <v>82</v>
      </c>
      <c r="C32" s="108" t="s">
        <v>223</v>
      </c>
      <c r="D32" s="20" t="s">
        <v>36</v>
      </c>
      <c r="E32" s="67">
        <f t="shared" si="4"/>
        <v>167</v>
      </c>
      <c r="F32" s="67">
        <f t="shared" si="4"/>
        <v>385</v>
      </c>
      <c r="G32" s="67">
        <f t="shared" si="4"/>
        <v>14</v>
      </c>
      <c r="H32" s="67">
        <f t="shared" si="4"/>
        <v>0</v>
      </c>
      <c r="I32" s="67">
        <f t="shared" si="4"/>
        <v>19</v>
      </c>
      <c r="J32" s="67">
        <f t="shared" si="4"/>
        <v>0</v>
      </c>
      <c r="K32" s="67">
        <f t="shared" si="4"/>
        <v>0</v>
      </c>
      <c r="L32" s="67">
        <f t="shared" si="4"/>
        <v>0</v>
      </c>
      <c r="M32" s="34">
        <f t="shared" si="1"/>
        <v>585</v>
      </c>
      <c r="N32" s="47">
        <f t="shared" si="2"/>
        <v>0.18636508442179037</v>
      </c>
      <c r="O32" s="9">
        <v>4</v>
      </c>
      <c r="P32" s="34"/>
      <c r="Q32" s="34"/>
      <c r="R32" s="34"/>
      <c r="S32" s="34"/>
      <c r="T32" s="34"/>
      <c r="U32" s="34"/>
      <c r="V32" s="34"/>
      <c r="W32" s="34"/>
    </row>
    <row r="33" spans="2:23" s="9" customFormat="1" ht="15.75" x14ac:dyDescent="0.25">
      <c r="B33" s="6" t="s">
        <v>68</v>
      </c>
      <c r="C33" s="108" t="s">
        <v>224</v>
      </c>
      <c r="D33" s="6" t="s">
        <v>37</v>
      </c>
      <c r="E33" s="67">
        <f t="shared" si="4"/>
        <v>9</v>
      </c>
      <c r="F33" s="67">
        <f t="shared" si="4"/>
        <v>8</v>
      </c>
      <c r="G33" s="67">
        <f t="shared" si="4"/>
        <v>1</v>
      </c>
      <c r="H33" s="67">
        <f t="shared" si="4"/>
        <v>0</v>
      </c>
      <c r="I33" s="67">
        <f t="shared" si="4"/>
        <v>0</v>
      </c>
      <c r="J33" s="67">
        <f t="shared" si="4"/>
        <v>0</v>
      </c>
      <c r="K33" s="67">
        <f t="shared" si="4"/>
        <v>0</v>
      </c>
      <c r="L33" s="67">
        <f t="shared" si="4"/>
        <v>0</v>
      </c>
      <c r="M33" s="34">
        <f t="shared" si="1"/>
        <v>18</v>
      </c>
      <c r="N33" s="47">
        <f t="shared" si="2"/>
        <v>5.7343102899012422E-3</v>
      </c>
      <c r="O33" s="9">
        <v>2</v>
      </c>
      <c r="P33" s="34"/>
      <c r="Q33" s="34"/>
      <c r="R33" s="34"/>
      <c r="S33" s="34"/>
      <c r="T33" s="34"/>
      <c r="U33" s="34"/>
      <c r="V33" s="34"/>
      <c r="W33" s="34"/>
    </row>
    <row r="34" spans="2:23" s="9" customFormat="1" ht="15.75" x14ac:dyDescent="0.25">
      <c r="B34" s="6" t="s">
        <v>70</v>
      </c>
      <c r="C34" s="108" t="s">
        <v>225</v>
      </c>
      <c r="D34" s="6" t="s">
        <v>39</v>
      </c>
      <c r="E34" s="67">
        <f t="shared" ref="E34:L40" si="5">+E78+E122+E166+E210</f>
        <v>0</v>
      </c>
      <c r="F34" s="67">
        <f t="shared" si="5"/>
        <v>0</v>
      </c>
      <c r="G34" s="67">
        <f t="shared" si="5"/>
        <v>0</v>
      </c>
      <c r="H34" s="67">
        <f t="shared" si="5"/>
        <v>0</v>
      </c>
      <c r="I34" s="67">
        <f t="shared" si="5"/>
        <v>0</v>
      </c>
      <c r="J34" s="67">
        <f t="shared" si="5"/>
        <v>0</v>
      </c>
      <c r="K34" s="67">
        <f t="shared" si="5"/>
        <v>0</v>
      </c>
      <c r="L34" s="67">
        <f t="shared" si="5"/>
        <v>0</v>
      </c>
      <c r="M34" s="34">
        <f t="shared" si="1"/>
        <v>0</v>
      </c>
      <c r="N34" s="47">
        <f t="shared" si="2"/>
        <v>0</v>
      </c>
      <c r="P34" s="34"/>
      <c r="Q34" s="34"/>
      <c r="R34" s="34"/>
      <c r="S34" s="34"/>
      <c r="T34" s="34"/>
      <c r="U34" s="34"/>
      <c r="V34" s="34"/>
      <c r="W34" s="34"/>
    </row>
    <row r="35" spans="2:23" s="9" customFormat="1" ht="15.75" x14ac:dyDescent="0.25">
      <c r="B35" s="6" t="s">
        <v>83</v>
      </c>
      <c r="C35" s="108" t="s">
        <v>226</v>
      </c>
      <c r="D35" s="20" t="s">
        <v>40</v>
      </c>
      <c r="E35" s="67">
        <f t="shared" si="5"/>
        <v>0</v>
      </c>
      <c r="F35" s="67">
        <f t="shared" si="5"/>
        <v>72</v>
      </c>
      <c r="G35" s="67">
        <f t="shared" si="5"/>
        <v>4</v>
      </c>
      <c r="H35" s="67">
        <f t="shared" si="5"/>
        <v>0</v>
      </c>
      <c r="I35" s="67">
        <f t="shared" si="5"/>
        <v>0</v>
      </c>
      <c r="J35" s="67">
        <f t="shared" si="5"/>
        <v>0</v>
      </c>
      <c r="K35" s="67">
        <f t="shared" si="5"/>
        <v>0</v>
      </c>
      <c r="L35" s="67">
        <f t="shared" si="5"/>
        <v>0</v>
      </c>
      <c r="M35" s="34">
        <f t="shared" si="1"/>
        <v>76</v>
      </c>
      <c r="N35" s="47">
        <f t="shared" si="2"/>
        <v>2.4211532335138577E-2</v>
      </c>
      <c r="O35" s="9">
        <v>2</v>
      </c>
      <c r="P35" s="34"/>
      <c r="Q35" s="34"/>
      <c r="R35" s="34"/>
      <c r="S35" s="34"/>
      <c r="T35" s="34"/>
      <c r="U35" s="34"/>
      <c r="V35" s="34"/>
      <c r="W35" s="34"/>
    </row>
    <row r="36" spans="2:23" s="9" customFormat="1" ht="15.75" x14ac:dyDescent="0.25">
      <c r="B36" s="6" t="s">
        <v>84</v>
      </c>
      <c r="C36" s="108" t="s">
        <v>227</v>
      </c>
      <c r="D36" s="6" t="s">
        <v>46</v>
      </c>
      <c r="E36" s="67">
        <f t="shared" si="5"/>
        <v>22</v>
      </c>
      <c r="F36" s="67">
        <f t="shared" si="5"/>
        <v>44</v>
      </c>
      <c r="G36" s="67">
        <f t="shared" si="5"/>
        <v>0</v>
      </c>
      <c r="H36" s="67">
        <f t="shared" si="5"/>
        <v>0</v>
      </c>
      <c r="I36" s="67">
        <f t="shared" si="5"/>
        <v>0</v>
      </c>
      <c r="J36" s="67">
        <f t="shared" si="5"/>
        <v>0</v>
      </c>
      <c r="K36" s="67">
        <f t="shared" si="5"/>
        <v>0</v>
      </c>
      <c r="L36" s="67">
        <f t="shared" si="5"/>
        <v>0</v>
      </c>
      <c r="M36" s="34">
        <f t="shared" si="1"/>
        <v>66</v>
      </c>
      <c r="N36" s="47">
        <f t="shared" si="2"/>
        <v>2.1025804396304557E-2</v>
      </c>
      <c r="O36" s="9">
        <v>2</v>
      </c>
      <c r="P36" s="34"/>
      <c r="Q36" s="34"/>
      <c r="R36" s="34"/>
      <c r="S36" s="34"/>
      <c r="T36" s="34"/>
      <c r="U36" s="34"/>
      <c r="V36" s="34"/>
      <c r="W36" s="34"/>
    </row>
    <row r="37" spans="2:23" s="9" customFormat="1" ht="15.75" x14ac:dyDescent="0.25">
      <c r="B37" s="6" t="s">
        <v>72</v>
      </c>
      <c r="C37" s="108" t="s">
        <v>228</v>
      </c>
      <c r="D37" s="20" t="s">
        <v>42</v>
      </c>
      <c r="E37" s="67">
        <f t="shared" si="5"/>
        <v>0</v>
      </c>
      <c r="F37" s="67">
        <f t="shared" si="5"/>
        <v>0</v>
      </c>
      <c r="G37" s="67">
        <f t="shared" si="5"/>
        <v>0</v>
      </c>
      <c r="H37" s="67">
        <f t="shared" si="5"/>
        <v>0</v>
      </c>
      <c r="I37" s="67">
        <f t="shared" si="5"/>
        <v>20</v>
      </c>
      <c r="J37" s="67">
        <f t="shared" si="5"/>
        <v>0</v>
      </c>
      <c r="K37" s="67">
        <f t="shared" si="5"/>
        <v>0</v>
      </c>
      <c r="L37" s="67">
        <f t="shared" si="5"/>
        <v>0</v>
      </c>
      <c r="M37" s="34">
        <f t="shared" si="1"/>
        <v>20</v>
      </c>
      <c r="N37" s="47">
        <f t="shared" si="2"/>
        <v>6.3714558776680474E-3</v>
      </c>
      <c r="O37" s="9">
        <v>1</v>
      </c>
      <c r="P37" s="34"/>
      <c r="Q37" s="34"/>
      <c r="R37" s="34"/>
      <c r="S37" s="34"/>
      <c r="T37" s="34"/>
      <c r="U37" s="34"/>
      <c r="V37" s="34"/>
      <c r="W37" s="34"/>
    </row>
    <row r="38" spans="2:23" s="9" customFormat="1" ht="15.75" x14ac:dyDescent="0.25">
      <c r="B38" s="6" t="s">
        <v>74</v>
      </c>
      <c r="C38" s="108" t="s">
        <v>229</v>
      </c>
      <c r="D38" s="6" t="s">
        <v>44</v>
      </c>
      <c r="E38" s="67">
        <f t="shared" si="5"/>
        <v>8</v>
      </c>
      <c r="F38" s="67">
        <f t="shared" si="5"/>
        <v>76</v>
      </c>
      <c r="G38" s="67">
        <f t="shared" si="5"/>
        <v>0</v>
      </c>
      <c r="H38" s="67">
        <f t="shared" si="5"/>
        <v>0</v>
      </c>
      <c r="I38" s="67">
        <f t="shared" si="5"/>
        <v>0</v>
      </c>
      <c r="J38" s="67">
        <f t="shared" si="5"/>
        <v>0</v>
      </c>
      <c r="K38" s="67">
        <f t="shared" si="5"/>
        <v>12</v>
      </c>
      <c r="L38" s="67">
        <f t="shared" si="5"/>
        <v>13</v>
      </c>
      <c r="M38" s="34">
        <f t="shared" si="1"/>
        <v>109</v>
      </c>
      <c r="N38" s="47">
        <f t="shared" si="2"/>
        <v>3.4724434533290854E-2</v>
      </c>
      <c r="O38" s="9">
        <v>3</v>
      </c>
      <c r="P38" s="34"/>
      <c r="Q38" s="34"/>
      <c r="R38" s="34"/>
      <c r="S38" s="34"/>
      <c r="T38" s="34"/>
      <c r="U38" s="34"/>
      <c r="V38" s="34"/>
      <c r="W38" s="34"/>
    </row>
    <row r="39" spans="2:23" s="9" customFormat="1" ht="15.75" x14ac:dyDescent="0.25">
      <c r="B39" s="6" t="s">
        <v>75</v>
      </c>
      <c r="C39" s="108" t="s">
        <v>230</v>
      </c>
      <c r="D39" s="6" t="s">
        <v>45</v>
      </c>
      <c r="E39" s="67">
        <f t="shared" si="5"/>
        <v>0</v>
      </c>
      <c r="F39" s="67">
        <f t="shared" si="5"/>
        <v>16</v>
      </c>
      <c r="G39" s="67">
        <f t="shared" si="5"/>
        <v>0</v>
      </c>
      <c r="H39" s="67">
        <f t="shared" si="5"/>
        <v>0</v>
      </c>
      <c r="I39" s="67">
        <f t="shared" si="5"/>
        <v>10</v>
      </c>
      <c r="J39" s="67">
        <f t="shared" si="5"/>
        <v>0</v>
      </c>
      <c r="K39" s="67">
        <f t="shared" si="5"/>
        <v>0</v>
      </c>
      <c r="L39" s="67">
        <f t="shared" si="5"/>
        <v>0</v>
      </c>
      <c r="M39" s="34">
        <f t="shared" si="1"/>
        <v>26</v>
      </c>
      <c r="N39" s="47">
        <f t="shared" si="2"/>
        <v>8.2828926409684606E-3</v>
      </c>
      <c r="O39" s="9">
        <v>3</v>
      </c>
      <c r="P39" s="34"/>
      <c r="Q39" s="34"/>
      <c r="R39" s="34"/>
      <c r="S39" s="34"/>
      <c r="T39" s="34"/>
      <c r="U39" s="34"/>
      <c r="V39" s="34"/>
      <c r="W39" s="34"/>
    </row>
    <row r="40" spans="2:23" s="9" customFormat="1" ht="15.75" x14ac:dyDescent="0.25">
      <c r="B40" s="6" t="s">
        <v>85</v>
      </c>
      <c r="C40" s="108" t="s">
        <v>231</v>
      </c>
      <c r="E40" s="67">
        <f t="shared" si="5"/>
        <v>16</v>
      </c>
      <c r="F40" s="67">
        <f t="shared" si="5"/>
        <v>11</v>
      </c>
      <c r="G40" s="67">
        <f t="shared" si="5"/>
        <v>0</v>
      </c>
      <c r="H40" s="67">
        <f t="shared" si="5"/>
        <v>0</v>
      </c>
      <c r="I40" s="67">
        <f t="shared" si="5"/>
        <v>1</v>
      </c>
      <c r="J40" s="67">
        <f t="shared" si="5"/>
        <v>0</v>
      </c>
      <c r="K40" s="67">
        <f t="shared" si="5"/>
        <v>2</v>
      </c>
      <c r="L40" s="67">
        <f t="shared" si="5"/>
        <v>0</v>
      </c>
      <c r="M40" s="34">
        <f t="shared" si="1"/>
        <v>30</v>
      </c>
      <c r="N40" s="47">
        <f t="shared" si="2"/>
        <v>9.5571838165020712E-3</v>
      </c>
      <c r="O40" s="47"/>
      <c r="P40" s="34"/>
      <c r="Q40" s="34"/>
      <c r="R40" s="34"/>
      <c r="S40" s="34"/>
      <c r="T40" s="34"/>
      <c r="U40" s="34"/>
      <c r="V40" s="34"/>
      <c r="W40" s="34"/>
    </row>
    <row r="41" spans="2:23" s="9" customFormat="1" ht="16.5" thickBot="1" x14ac:dyDescent="0.3">
      <c r="B41" s="8" t="s">
        <v>119</v>
      </c>
      <c r="C41" s="8"/>
      <c r="E41" s="35">
        <f t="shared" ref="E41:N41" si="6">SUM(E4:E40)</f>
        <v>624</v>
      </c>
      <c r="F41" s="35">
        <f t="shared" si="6"/>
        <v>1701</v>
      </c>
      <c r="G41" s="35">
        <f t="shared" si="6"/>
        <v>67</v>
      </c>
      <c r="H41" s="35">
        <f t="shared" si="6"/>
        <v>440</v>
      </c>
      <c r="I41" s="35">
        <f t="shared" si="6"/>
        <v>111</v>
      </c>
      <c r="J41" s="35">
        <f t="shared" si="6"/>
        <v>12</v>
      </c>
      <c r="K41" s="35">
        <f t="shared" si="6"/>
        <v>171</v>
      </c>
      <c r="L41" s="35">
        <f t="shared" si="6"/>
        <v>13</v>
      </c>
      <c r="M41" s="35">
        <f t="shared" si="6"/>
        <v>3139</v>
      </c>
      <c r="N41" s="58">
        <f t="shared" si="6"/>
        <v>1</v>
      </c>
      <c r="O41" s="61"/>
      <c r="P41" s="34"/>
      <c r="Q41" s="34"/>
      <c r="R41" s="34"/>
      <c r="S41" s="34"/>
      <c r="T41" s="34"/>
      <c r="U41" s="34"/>
      <c r="V41" s="34"/>
      <c r="W41" s="34"/>
    </row>
    <row r="42" spans="2:23" s="9" customFormat="1" ht="16.5" thickTop="1" x14ac:dyDescent="0.25">
      <c r="B42" s="6"/>
      <c r="C42" s="6"/>
      <c r="E42" s="34"/>
      <c r="F42" s="36"/>
      <c r="G42" s="36" t="s">
        <v>118</v>
      </c>
      <c r="H42" s="34">
        <f>+H41+F41</f>
        <v>2141</v>
      </c>
      <c r="I42" s="34"/>
      <c r="J42" s="34"/>
      <c r="K42" s="34"/>
      <c r="L42" s="63" t="s">
        <v>180</v>
      </c>
      <c r="M42" s="34">
        <v>32</v>
      </c>
      <c r="P42" s="34"/>
      <c r="Q42" s="34"/>
      <c r="R42" s="34"/>
      <c r="S42" s="34"/>
      <c r="T42" s="34"/>
      <c r="U42" s="34"/>
      <c r="V42" s="34"/>
      <c r="W42" s="34"/>
    </row>
    <row r="43" spans="2:23" s="9" customFormat="1" ht="15.75" x14ac:dyDescent="0.25">
      <c r="B43" s="6"/>
      <c r="C43" s="6"/>
      <c r="D43" s="55" t="s">
        <v>177</v>
      </c>
      <c r="E43" s="56">
        <f t="shared" ref="E43:M43" si="7">+E41/$M41</f>
        <v>0.19878942338324307</v>
      </c>
      <c r="F43" s="56">
        <f t="shared" si="7"/>
        <v>0.54189232239566743</v>
      </c>
      <c r="G43" s="56">
        <f t="shared" si="7"/>
        <v>2.1344377190187957E-2</v>
      </c>
      <c r="H43" s="56">
        <f t="shared" si="7"/>
        <v>0.14017202930869704</v>
      </c>
      <c r="I43" s="56">
        <f t="shared" si="7"/>
        <v>3.5361580121057661E-2</v>
      </c>
      <c r="J43" s="56">
        <f t="shared" si="7"/>
        <v>3.8228735266008281E-3</v>
      </c>
      <c r="K43" s="56">
        <f t="shared" si="7"/>
        <v>5.4475947754061803E-2</v>
      </c>
      <c r="L43" s="56">
        <f t="shared" si="7"/>
        <v>4.1414463204842303E-3</v>
      </c>
      <c r="M43" s="56">
        <f t="shared" si="7"/>
        <v>1</v>
      </c>
      <c r="N43" s="56"/>
      <c r="O43" s="56"/>
      <c r="P43" s="34"/>
      <c r="Q43" s="34"/>
      <c r="R43" s="34"/>
      <c r="S43" s="34"/>
      <c r="T43" s="34"/>
      <c r="U43" s="34"/>
      <c r="V43" s="34"/>
      <c r="W43" s="34"/>
    </row>
    <row r="44" spans="2:23" s="9" customFormat="1" ht="15.75" x14ac:dyDescent="0.25">
      <c r="B44" s="6"/>
      <c r="C44" s="6"/>
      <c r="D44" s="8" t="s">
        <v>186</v>
      </c>
      <c r="E44" s="34">
        <v>24</v>
      </c>
      <c r="F44" s="34">
        <v>15</v>
      </c>
      <c r="G44" s="34">
        <v>10</v>
      </c>
      <c r="H44" s="34">
        <v>1</v>
      </c>
      <c r="I44" s="34">
        <v>5</v>
      </c>
      <c r="J44" s="34">
        <v>3</v>
      </c>
      <c r="K44" s="34">
        <v>4</v>
      </c>
      <c r="L44" s="34">
        <v>1</v>
      </c>
      <c r="M44" s="34"/>
      <c r="N44" s="34"/>
      <c r="O44" s="34">
        <f>SUM(O4:O40)</f>
        <v>63</v>
      </c>
      <c r="P44" s="34"/>
      <c r="Q44" s="34"/>
      <c r="R44" s="34"/>
      <c r="S44" s="34"/>
      <c r="T44" s="34"/>
      <c r="U44" s="34"/>
      <c r="V44" s="34"/>
      <c r="W44" s="34"/>
    </row>
    <row r="45" spans="2:23" s="9" customFormat="1" ht="15.75" x14ac:dyDescent="0.25">
      <c r="B45" s="5" t="s">
        <v>267</v>
      </c>
      <c r="C45" s="5"/>
      <c r="E45" s="34"/>
      <c r="F45" s="36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</row>
    <row r="46" spans="2:23" s="9" customFormat="1" ht="15.75" x14ac:dyDescent="0.25">
      <c r="B46" s="19" t="s">
        <v>47</v>
      </c>
      <c r="C46" s="19"/>
      <c r="D46" s="19" t="s">
        <v>187</v>
      </c>
      <c r="E46" s="34"/>
      <c r="F46" s="36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</row>
    <row r="47" spans="2:23" s="9" customFormat="1" ht="15.75" x14ac:dyDescent="0.25">
      <c r="B47" s="18" t="s">
        <v>76</v>
      </c>
      <c r="C47" s="6"/>
      <c r="D47" s="82" t="s">
        <v>188</v>
      </c>
      <c r="E47" s="37" t="s">
        <v>24</v>
      </c>
      <c r="F47" s="37" t="s">
        <v>137</v>
      </c>
      <c r="G47" s="37" t="s">
        <v>138</v>
      </c>
      <c r="H47" s="37" t="s">
        <v>137</v>
      </c>
      <c r="I47" s="37" t="s">
        <v>139</v>
      </c>
      <c r="J47" s="37" t="s">
        <v>143</v>
      </c>
      <c r="K47" s="37" t="s">
        <v>144</v>
      </c>
      <c r="L47" s="37" t="s">
        <v>145</v>
      </c>
      <c r="M47" s="37" t="s">
        <v>116</v>
      </c>
      <c r="N47" s="7" t="s">
        <v>177</v>
      </c>
      <c r="O47" s="7"/>
      <c r="P47" s="34"/>
      <c r="Q47" s="34"/>
      <c r="R47" s="34"/>
      <c r="S47" s="34"/>
      <c r="T47" s="34"/>
      <c r="U47" s="34"/>
      <c r="V47" s="34"/>
      <c r="W47" s="34"/>
    </row>
    <row r="48" spans="2:23" s="9" customFormat="1" ht="15.75" x14ac:dyDescent="0.25">
      <c r="B48" s="6" t="s">
        <v>62</v>
      </c>
      <c r="C48" s="77" t="s">
        <v>197</v>
      </c>
      <c r="D48" s="82" t="s">
        <v>27</v>
      </c>
      <c r="E48" s="81"/>
      <c r="M48" s="34">
        <f t="shared" ref="M48:M84" si="8">SUM(E48:L48)</f>
        <v>0</v>
      </c>
      <c r="N48" s="47">
        <f t="shared" ref="N48:N84" si="9">+M48/M$85</f>
        <v>0</v>
      </c>
      <c r="O48" s="47"/>
      <c r="P48" s="34"/>
      <c r="Q48" s="34"/>
      <c r="R48" s="34"/>
      <c r="S48" s="34"/>
      <c r="T48" s="34"/>
      <c r="U48" s="34"/>
      <c r="V48" s="34"/>
      <c r="W48" s="34"/>
    </row>
    <row r="49" spans="2:23" s="9" customFormat="1" ht="15.75" x14ac:dyDescent="0.25">
      <c r="B49" s="6" t="s">
        <v>63</v>
      </c>
      <c r="C49" s="77" t="s">
        <v>198</v>
      </c>
      <c r="D49" s="82" t="s">
        <v>28</v>
      </c>
      <c r="E49" s="81"/>
      <c r="F49" s="9">
        <v>1</v>
      </c>
      <c r="J49" s="81"/>
      <c r="K49" s="9">
        <v>21</v>
      </c>
      <c r="M49" s="34">
        <f t="shared" si="8"/>
        <v>22</v>
      </c>
      <c r="N49" s="47">
        <f t="shared" si="9"/>
        <v>1.5427769985974754E-2</v>
      </c>
      <c r="O49" s="47"/>
      <c r="P49" s="34"/>
      <c r="Q49" s="34"/>
      <c r="R49" s="34"/>
      <c r="S49" s="34"/>
      <c r="T49" s="34"/>
      <c r="U49" s="34"/>
      <c r="V49" s="34"/>
      <c r="W49" s="34"/>
    </row>
    <row r="50" spans="2:23" s="9" customFormat="1" ht="15.75" x14ac:dyDescent="0.25">
      <c r="B50" s="6" t="s">
        <v>53</v>
      </c>
      <c r="C50" s="77" t="s">
        <v>213</v>
      </c>
      <c r="D50" s="82" t="s">
        <v>18</v>
      </c>
      <c r="E50" s="80"/>
      <c r="M50" s="34">
        <f t="shared" si="8"/>
        <v>0</v>
      </c>
      <c r="N50" s="47">
        <f t="shared" si="9"/>
        <v>0</v>
      </c>
      <c r="O50" s="47"/>
      <c r="P50" s="34"/>
      <c r="Q50" s="34"/>
      <c r="R50" s="34"/>
      <c r="S50" s="34"/>
      <c r="T50" s="34"/>
      <c r="U50" s="34"/>
      <c r="V50" s="34"/>
      <c r="W50" s="34"/>
    </row>
    <row r="51" spans="2:23" s="9" customFormat="1" ht="15.75" x14ac:dyDescent="0.25">
      <c r="B51" s="6" t="s">
        <v>55</v>
      </c>
      <c r="C51" s="77" t="s">
        <v>199</v>
      </c>
      <c r="D51" s="82" t="s">
        <v>20</v>
      </c>
      <c r="E51" s="81">
        <v>2</v>
      </c>
      <c r="J51" s="81"/>
      <c r="M51" s="34">
        <f t="shared" si="8"/>
        <v>2</v>
      </c>
      <c r="N51" s="47">
        <f t="shared" si="9"/>
        <v>1.4025245441795231E-3</v>
      </c>
      <c r="O51" s="47"/>
      <c r="P51" s="34"/>
      <c r="Q51" s="34"/>
      <c r="R51" s="34"/>
      <c r="S51" s="34"/>
      <c r="T51" s="34"/>
      <c r="U51" s="34"/>
      <c r="V51" s="34"/>
      <c r="W51" s="34"/>
    </row>
    <row r="52" spans="2:23" s="9" customFormat="1" ht="15.75" x14ac:dyDescent="0.25">
      <c r="B52" s="6" t="s">
        <v>56</v>
      </c>
      <c r="C52" s="77" t="s">
        <v>200</v>
      </c>
      <c r="D52" s="82" t="s">
        <v>21</v>
      </c>
      <c r="E52" s="81">
        <v>1</v>
      </c>
      <c r="M52" s="34">
        <f t="shared" si="8"/>
        <v>1</v>
      </c>
      <c r="N52" s="47">
        <f t="shared" si="9"/>
        <v>7.0126227208976155E-4</v>
      </c>
      <c r="O52" s="47"/>
      <c r="P52" s="34"/>
      <c r="Q52" s="34"/>
      <c r="R52" s="34"/>
      <c r="S52" s="34"/>
      <c r="T52" s="34"/>
      <c r="U52" s="34"/>
      <c r="V52" s="34"/>
      <c r="W52" s="34"/>
    </row>
    <row r="53" spans="2:23" s="9" customFormat="1" ht="15.75" x14ac:dyDescent="0.25">
      <c r="B53" s="6" t="s">
        <v>57</v>
      </c>
      <c r="C53" s="77" t="s">
        <v>201</v>
      </c>
      <c r="D53" s="82" t="s">
        <v>22</v>
      </c>
      <c r="E53" s="81">
        <v>5</v>
      </c>
      <c r="F53" s="9">
        <v>3</v>
      </c>
      <c r="M53" s="34">
        <f t="shared" si="8"/>
        <v>8</v>
      </c>
      <c r="N53" s="47">
        <f t="shared" si="9"/>
        <v>5.6100981767180924E-3</v>
      </c>
      <c r="O53" s="47"/>
      <c r="P53" s="34"/>
      <c r="Q53" s="34"/>
      <c r="R53" s="34"/>
      <c r="S53" s="34"/>
      <c r="T53" s="34"/>
      <c r="U53" s="34"/>
      <c r="V53" s="34"/>
      <c r="W53" s="34"/>
    </row>
    <row r="54" spans="2:23" s="9" customFormat="1" ht="15.75" x14ac:dyDescent="0.25">
      <c r="B54" s="6" t="s">
        <v>79</v>
      </c>
      <c r="C54" s="77" t="s">
        <v>202</v>
      </c>
      <c r="D54" s="82" t="s">
        <v>31</v>
      </c>
      <c r="E54" s="81">
        <v>5</v>
      </c>
      <c r="G54" s="9">
        <v>1</v>
      </c>
      <c r="M54" s="34">
        <f t="shared" si="8"/>
        <v>6</v>
      </c>
      <c r="N54" s="47">
        <f t="shared" si="9"/>
        <v>4.2075736325385693E-3</v>
      </c>
      <c r="O54" s="47"/>
      <c r="P54" s="34"/>
      <c r="Q54" s="34"/>
      <c r="R54" s="34"/>
      <c r="S54" s="34"/>
      <c r="T54" s="34"/>
      <c r="U54" s="34"/>
      <c r="V54" s="34"/>
      <c r="W54" s="34"/>
    </row>
    <row r="55" spans="2:23" s="9" customFormat="1" ht="15.75" x14ac:dyDescent="0.25">
      <c r="B55" s="6" t="s">
        <v>67</v>
      </c>
      <c r="C55" s="77" t="s">
        <v>203</v>
      </c>
      <c r="D55" s="82" t="s">
        <v>33</v>
      </c>
      <c r="E55" s="81">
        <v>8</v>
      </c>
      <c r="M55" s="34">
        <f t="shared" si="8"/>
        <v>8</v>
      </c>
      <c r="N55" s="47">
        <f t="shared" si="9"/>
        <v>5.6100981767180924E-3</v>
      </c>
      <c r="O55" s="47"/>
      <c r="P55" s="34"/>
      <c r="Q55" s="34"/>
      <c r="R55" s="34"/>
      <c r="S55" s="34"/>
      <c r="T55" s="34"/>
      <c r="U55" s="34"/>
      <c r="V55" s="34"/>
      <c r="W55" s="34"/>
    </row>
    <row r="56" spans="2:23" s="9" customFormat="1" ht="15.75" x14ac:dyDescent="0.25">
      <c r="B56" s="6" t="s">
        <v>69</v>
      </c>
      <c r="C56" s="77" t="s">
        <v>204</v>
      </c>
      <c r="D56" s="82" t="s">
        <v>38</v>
      </c>
      <c r="E56" s="81"/>
      <c r="M56" s="34">
        <f t="shared" si="8"/>
        <v>0</v>
      </c>
      <c r="N56" s="47">
        <f t="shared" si="9"/>
        <v>0</v>
      </c>
      <c r="O56" s="47"/>
      <c r="P56" s="34"/>
      <c r="Q56" s="34"/>
      <c r="R56" s="34"/>
      <c r="S56" s="34"/>
      <c r="T56" s="34"/>
      <c r="U56" s="34"/>
      <c r="V56" s="34"/>
      <c r="W56" s="34"/>
    </row>
    <row r="57" spans="2:23" s="9" customFormat="1" ht="15.75" x14ac:dyDescent="0.25">
      <c r="B57" s="6" t="s">
        <v>71</v>
      </c>
      <c r="C57" s="77" t="s">
        <v>205</v>
      </c>
      <c r="D57" s="82" t="s">
        <v>41</v>
      </c>
      <c r="E57" s="81">
        <v>1</v>
      </c>
      <c r="M57" s="34">
        <f t="shared" si="8"/>
        <v>1</v>
      </c>
      <c r="N57" s="47">
        <f t="shared" si="9"/>
        <v>7.0126227208976155E-4</v>
      </c>
      <c r="O57" s="47"/>
      <c r="P57" s="34"/>
      <c r="Q57" s="34"/>
      <c r="R57" s="34"/>
      <c r="S57" s="34"/>
      <c r="T57" s="34"/>
      <c r="U57" s="34"/>
      <c r="V57" s="34"/>
      <c r="W57" s="34"/>
    </row>
    <row r="58" spans="2:23" s="9" customFormat="1" ht="15.75" x14ac:dyDescent="0.25">
      <c r="B58" s="6" t="s">
        <v>73</v>
      </c>
      <c r="C58" s="77" t="s">
        <v>206</v>
      </c>
      <c r="D58" s="82" t="s">
        <v>43</v>
      </c>
      <c r="E58" s="81">
        <v>1</v>
      </c>
      <c r="M58" s="34">
        <f t="shared" si="8"/>
        <v>1</v>
      </c>
      <c r="N58" s="47">
        <f t="shared" si="9"/>
        <v>7.0126227208976155E-4</v>
      </c>
      <c r="O58" s="47"/>
      <c r="P58" s="34"/>
      <c r="Q58" s="34"/>
      <c r="R58" s="34"/>
      <c r="S58" s="34"/>
      <c r="T58" s="34"/>
      <c r="U58" s="34"/>
      <c r="V58" s="34"/>
      <c r="W58" s="34"/>
    </row>
    <row r="59" spans="2:23" s="9" customFormat="1" ht="15.75" x14ac:dyDescent="0.25">
      <c r="B59" s="6" t="s">
        <v>61</v>
      </c>
      <c r="C59" s="77" t="s">
        <v>196</v>
      </c>
      <c r="D59" s="6" t="s">
        <v>26</v>
      </c>
      <c r="I59" s="9">
        <v>7</v>
      </c>
      <c r="K59" s="9">
        <v>10</v>
      </c>
      <c r="M59" s="34">
        <f t="shared" si="8"/>
        <v>17</v>
      </c>
      <c r="N59" s="47">
        <f t="shared" si="9"/>
        <v>1.1921458625525946E-2</v>
      </c>
      <c r="O59" s="47"/>
      <c r="P59" s="34"/>
      <c r="Q59" s="34"/>
      <c r="R59" s="34"/>
      <c r="S59" s="34"/>
      <c r="T59" s="34"/>
      <c r="U59" s="34"/>
      <c r="V59" s="34"/>
      <c r="W59" s="34"/>
    </row>
    <row r="60" spans="2:23" s="9" customFormat="1" ht="15.75" x14ac:dyDescent="0.25">
      <c r="B60" s="6" t="s">
        <v>48</v>
      </c>
      <c r="C60" s="77" t="s">
        <v>207</v>
      </c>
      <c r="D60" s="6" t="s">
        <v>12</v>
      </c>
      <c r="E60" s="9">
        <v>17</v>
      </c>
      <c r="M60" s="34">
        <f t="shared" si="8"/>
        <v>17</v>
      </c>
      <c r="N60" s="47">
        <f t="shared" si="9"/>
        <v>1.1921458625525946E-2</v>
      </c>
      <c r="O60" s="47"/>
      <c r="P60" s="34"/>
      <c r="Q60" s="34"/>
      <c r="R60" s="34"/>
      <c r="S60" s="34"/>
      <c r="T60" s="34"/>
      <c r="U60" s="34"/>
      <c r="V60" s="34"/>
      <c r="W60" s="34"/>
    </row>
    <row r="61" spans="2:23" s="9" customFormat="1" ht="15.75" x14ac:dyDescent="0.25">
      <c r="B61" s="6" t="s">
        <v>77</v>
      </c>
      <c r="C61" s="77" t="s">
        <v>208</v>
      </c>
      <c r="D61" s="20" t="s">
        <v>13</v>
      </c>
      <c r="F61" s="9">
        <v>63</v>
      </c>
      <c r="G61" s="9">
        <v>2</v>
      </c>
      <c r="M61" s="34">
        <f t="shared" si="8"/>
        <v>65</v>
      </c>
      <c r="N61" s="47">
        <f t="shared" si="9"/>
        <v>4.5582047685834501E-2</v>
      </c>
      <c r="O61" s="47"/>
      <c r="P61" s="34"/>
      <c r="Q61" s="34"/>
      <c r="R61" s="34"/>
      <c r="S61" s="34"/>
      <c r="T61" s="34"/>
      <c r="U61" s="34"/>
      <c r="V61" s="34"/>
      <c r="W61" s="34"/>
    </row>
    <row r="62" spans="2:23" s="9" customFormat="1" ht="15.75" x14ac:dyDescent="0.25">
      <c r="B62" s="6" t="s">
        <v>49</v>
      </c>
      <c r="C62" s="77" t="s">
        <v>209</v>
      </c>
      <c r="D62" s="6" t="s">
        <v>14</v>
      </c>
      <c r="E62" s="9">
        <v>1</v>
      </c>
      <c r="M62" s="34">
        <f t="shared" si="8"/>
        <v>1</v>
      </c>
      <c r="N62" s="47">
        <f t="shared" si="9"/>
        <v>7.0126227208976155E-4</v>
      </c>
      <c r="O62" s="47"/>
      <c r="P62" s="34"/>
      <c r="Q62" s="34"/>
      <c r="R62" s="34"/>
      <c r="S62" s="34"/>
      <c r="T62" s="34"/>
      <c r="U62" s="34"/>
      <c r="V62" s="34"/>
      <c r="W62" s="34"/>
    </row>
    <row r="63" spans="2:23" s="9" customFormat="1" ht="15.75" x14ac:dyDescent="0.25">
      <c r="B63" s="6" t="s">
        <v>50</v>
      </c>
      <c r="C63" s="77" t="s">
        <v>210</v>
      </c>
      <c r="D63" s="6" t="s">
        <v>15</v>
      </c>
      <c r="E63" s="9">
        <v>54</v>
      </c>
      <c r="F63" s="9">
        <v>21</v>
      </c>
      <c r="G63" s="9">
        <v>5</v>
      </c>
      <c r="M63" s="34">
        <f t="shared" si="8"/>
        <v>80</v>
      </c>
      <c r="N63" s="47">
        <f t="shared" si="9"/>
        <v>5.6100981767180924E-2</v>
      </c>
      <c r="O63" s="47"/>
      <c r="P63" s="34"/>
      <c r="Q63" s="34"/>
      <c r="R63" s="34"/>
      <c r="S63" s="34"/>
      <c r="T63" s="34"/>
      <c r="U63" s="34"/>
      <c r="V63" s="34"/>
      <c r="W63" s="34"/>
    </row>
    <row r="64" spans="2:23" s="9" customFormat="1" ht="15.75" x14ac:dyDescent="0.25">
      <c r="B64" s="6" t="s">
        <v>51</v>
      </c>
      <c r="C64" s="77" t="s">
        <v>211</v>
      </c>
      <c r="D64" s="6" t="s">
        <v>16</v>
      </c>
      <c r="F64" s="9">
        <v>3</v>
      </c>
      <c r="G64" s="9">
        <v>1</v>
      </c>
      <c r="K64" s="9">
        <v>19</v>
      </c>
      <c r="M64" s="34">
        <f t="shared" si="8"/>
        <v>23</v>
      </c>
      <c r="N64" s="47">
        <f t="shared" si="9"/>
        <v>1.6129032258064516E-2</v>
      </c>
      <c r="O64" s="47"/>
      <c r="P64" s="34"/>
      <c r="Q64" s="34"/>
      <c r="R64" s="34"/>
      <c r="S64" s="34"/>
      <c r="T64" s="34"/>
      <c r="U64" s="34"/>
      <c r="V64" s="34"/>
      <c r="W64" s="34"/>
    </row>
    <row r="65" spans="2:23" s="9" customFormat="1" ht="15.75" x14ac:dyDescent="0.25">
      <c r="B65" s="6" t="s">
        <v>52</v>
      </c>
      <c r="C65" s="77" t="s">
        <v>212</v>
      </c>
      <c r="D65" s="6" t="s">
        <v>17</v>
      </c>
      <c r="G65" s="9">
        <v>3</v>
      </c>
      <c r="M65" s="34">
        <f t="shared" si="8"/>
        <v>3</v>
      </c>
      <c r="N65" s="47">
        <f t="shared" si="9"/>
        <v>2.1037868162692847E-3</v>
      </c>
      <c r="O65" s="47"/>
      <c r="P65" s="34"/>
      <c r="Q65" s="34"/>
      <c r="R65" s="34"/>
      <c r="S65" s="34"/>
      <c r="T65" s="34"/>
      <c r="U65" s="34"/>
      <c r="V65" s="34"/>
      <c r="W65" s="34"/>
    </row>
    <row r="66" spans="2:23" s="9" customFormat="1" ht="15.75" x14ac:dyDescent="0.25">
      <c r="B66" s="6" t="s">
        <v>54</v>
      </c>
      <c r="C66" s="77" t="s">
        <v>214</v>
      </c>
      <c r="D66" s="6" t="s">
        <v>19</v>
      </c>
      <c r="F66" s="9">
        <v>8</v>
      </c>
      <c r="M66" s="34">
        <f t="shared" si="8"/>
        <v>8</v>
      </c>
      <c r="N66" s="47">
        <f t="shared" si="9"/>
        <v>5.6100981767180924E-3</v>
      </c>
      <c r="O66" s="47"/>
      <c r="P66" s="34"/>
      <c r="Q66" s="34"/>
      <c r="R66" s="34"/>
      <c r="S66" s="34"/>
      <c r="T66" s="34"/>
      <c r="U66" s="34"/>
      <c r="V66" s="34"/>
      <c r="W66" s="34"/>
    </row>
    <row r="67" spans="2:23" s="9" customFormat="1" ht="15.75" x14ac:dyDescent="0.25">
      <c r="B67" s="6" t="s">
        <v>58</v>
      </c>
      <c r="C67" s="77" t="s">
        <v>232</v>
      </c>
      <c r="D67" s="6" t="s">
        <v>23</v>
      </c>
      <c r="J67" s="9">
        <v>2</v>
      </c>
      <c r="M67" s="34">
        <f t="shared" si="8"/>
        <v>2</v>
      </c>
      <c r="N67" s="47">
        <f t="shared" si="9"/>
        <v>1.4025245441795231E-3</v>
      </c>
      <c r="O67" s="47"/>
      <c r="P67" s="34"/>
      <c r="Q67" s="34"/>
      <c r="R67" s="34"/>
      <c r="S67" s="34"/>
      <c r="T67" s="34"/>
      <c r="U67" s="34"/>
      <c r="V67" s="34"/>
      <c r="W67" s="34"/>
    </row>
    <row r="68" spans="2:23" s="9" customFormat="1" ht="15.75" x14ac:dyDescent="0.25">
      <c r="B68" s="6" t="s">
        <v>59</v>
      </c>
      <c r="C68" s="77" t="s">
        <v>215</v>
      </c>
      <c r="D68" s="6" t="s">
        <v>24</v>
      </c>
      <c r="E68" s="9">
        <v>2</v>
      </c>
      <c r="F68" s="9">
        <v>153</v>
      </c>
      <c r="G68" s="9">
        <v>2</v>
      </c>
      <c r="M68" s="34">
        <f t="shared" si="8"/>
        <v>157</v>
      </c>
      <c r="N68" s="47">
        <f t="shared" si="9"/>
        <v>0.11009817671809256</v>
      </c>
      <c r="O68" s="47"/>
      <c r="P68" s="34"/>
      <c r="Q68" s="34"/>
      <c r="R68" s="34"/>
      <c r="S68" s="34"/>
      <c r="T68" s="34"/>
      <c r="U68" s="34"/>
      <c r="V68" s="34"/>
      <c r="W68" s="34"/>
    </row>
    <row r="69" spans="2:23" s="9" customFormat="1" ht="15.75" x14ac:dyDescent="0.25">
      <c r="B69" s="6" t="s">
        <v>60</v>
      </c>
      <c r="C69" s="77" t="s">
        <v>216</v>
      </c>
      <c r="D69" s="6" t="s">
        <v>25</v>
      </c>
      <c r="F69" s="9">
        <v>3</v>
      </c>
      <c r="I69" s="9">
        <v>17</v>
      </c>
      <c r="M69" s="34">
        <f t="shared" si="8"/>
        <v>20</v>
      </c>
      <c r="N69" s="47">
        <f t="shared" si="9"/>
        <v>1.4025245441795231E-2</v>
      </c>
      <c r="O69" s="47"/>
      <c r="P69" s="34"/>
      <c r="Q69" s="34"/>
      <c r="R69" s="34"/>
      <c r="S69" s="34"/>
      <c r="T69" s="34"/>
      <c r="U69" s="34"/>
      <c r="V69" s="34"/>
      <c r="W69" s="34"/>
    </row>
    <row r="70" spans="2:23" s="9" customFormat="1" ht="15.75" x14ac:dyDescent="0.25">
      <c r="B70" s="6" t="s">
        <v>78</v>
      </c>
      <c r="C70" s="77" t="s">
        <v>217</v>
      </c>
      <c r="D70" s="6" t="s">
        <v>195</v>
      </c>
      <c r="H70" s="84">
        <v>195</v>
      </c>
      <c r="M70" s="34">
        <f t="shared" si="8"/>
        <v>195</v>
      </c>
      <c r="N70" s="47">
        <f t="shared" si="9"/>
        <v>0.13674614305750352</v>
      </c>
      <c r="O70" s="47"/>
      <c r="P70" s="34"/>
      <c r="Q70" s="34"/>
      <c r="R70" s="34"/>
      <c r="S70" s="34"/>
      <c r="T70" s="34"/>
      <c r="U70" s="34"/>
      <c r="V70" s="34"/>
      <c r="W70" s="34"/>
    </row>
    <row r="71" spans="2:23" s="9" customFormat="1" ht="15.75" x14ac:dyDescent="0.25">
      <c r="B71" s="6" t="s">
        <v>64</v>
      </c>
      <c r="C71" s="77" t="s">
        <v>218</v>
      </c>
      <c r="D71" s="6" t="s">
        <v>29</v>
      </c>
      <c r="E71" s="9">
        <v>82</v>
      </c>
      <c r="F71" s="9">
        <v>128</v>
      </c>
      <c r="G71" s="9">
        <v>4</v>
      </c>
      <c r="M71" s="34">
        <f t="shared" si="8"/>
        <v>214</v>
      </c>
      <c r="N71" s="47">
        <f t="shared" si="9"/>
        <v>0.15007012622720897</v>
      </c>
      <c r="O71" s="47"/>
      <c r="P71" s="34"/>
      <c r="Q71" s="34"/>
      <c r="R71" s="34"/>
      <c r="S71" s="34"/>
      <c r="T71" s="34"/>
      <c r="U71" s="34"/>
      <c r="V71" s="34"/>
      <c r="W71" s="34"/>
    </row>
    <row r="72" spans="2:23" s="9" customFormat="1" ht="15.75" x14ac:dyDescent="0.25">
      <c r="B72" s="6" t="s">
        <v>65</v>
      </c>
      <c r="C72" s="77" t="s">
        <v>219</v>
      </c>
      <c r="D72" s="6" t="s">
        <v>30</v>
      </c>
      <c r="E72" s="9">
        <v>14</v>
      </c>
      <c r="M72" s="34">
        <f t="shared" si="8"/>
        <v>14</v>
      </c>
      <c r="N72" s="47">
        <f t="shared" si="9"/>
        <v>9.8176718092566617E-3</v>
      </c>
      <c r="O72" s="47"/>
      <c r="P72" s="34"/>
      <c r="Q72" s="34"/>
      <c r="R72" s="34"/>
      <c r="S72" s="34"/>
      <c r="T72" s="34"/>
      <c r="U72" s="34"/>
      <c r="V72" s="34"/>
      <c r="W72" s="34"/>
    </row>
    <row r="73" spans="2:23" s="9" customFormat="1" ht="15.75" x14ac:dyDescent="0.25">
      <c r="B73" s="6" t="s">
        <v>66</v>
      </c>
      <c r="C73" s="77" t="s">
        <v>220</v>
      </c>
      <c r="D73" s="6" t="s">
        <v>32</v>
      </c>
      <c r="G73" s="9">
        <v>1</v>
      </c>
      <c r="M73" s="34">
        <f t="shared" si="8"/>
        <v>1</v>
      </c>
      <c r="N73" s="47">
        <f t="shared" si="9"/>
        <v>7.0126227208976155E-4</v>
      </c>
      <c r="O73" s="47"/>
      <c r="P73" s="34"/>
      <c r="Q73" s="34"/>
      <c r="R73" s="34"/>
      <c r="S73" s="34"/>
      <c r="T73" s="34"/>
      <c r="U73" s="34"/>
      <c r="V73" s="34"/>
      <c r="W73" s="34"/>
    </row>
    <row r="74" spans="2:23" s="9" customFormat="1" ht="15.75" x14ac:dyDescent="0.25">
      <c r="B74" s="20" t="s">
        <v>80</v>
      </c>
      <c r="C74" s="77" t="s">
        <v>221</v>
      </c>
      <c r="D74" s="20" t="s">
        <v>34</v>
      </c>
      <c r="K74" s="9">
        <v>14</v>
      </c>
      <c r="M74" s="34">
        <f t="shared" si="8"/>
        <v>14</v>
      </c>
      <c r="N74" s="47">
        <f t="shared" si="9"/>
        <v>9.8176718092566617E-3</v>
      </c>
      <c r="O74" s="47"/>
      <c r="P74" s="34"/>
      <c r="Q74" s="34"/>
      <c r="R74" s="34"/>
      <c r="S74" s="34"/>
      <c r="T74" s="34"/>
      <c r="U74" s="34"/>
      <c r="V74" s="34"/>
      <c r="W74" s="34"/>
    </row>
    <row r="75" spans="2:23" s="9" customFormat="1" ht="15.75" x14ac:dyDescent="0.25">
      <c r="B75" s="20" t="s">
        <v>81</v>
      </c>
      <c r="C75" s="77" t="s">
        <v>222</v>
      </c>
      <c r="D75" s="20" t="s">
        <v>35</v>
      </c>
      <c r="F75" s="9">
        <v>112</v>
      </c>
      <c r="M75" s="34">
        <f t="shared" si="8"/>
        <v>112</v>
      </c>
      <c r="N75" s="47">
        <f t="shared" si="9"/>
        <v>7.8541374474053294E-2</v>
      </c>
      <c r="O75" s="47"/>
      <c r="P75" s="34"/>
      <c r="Q75" s="34"/>
      <c r="R75" s="34"/>
      <c r="S75" s="34"/>
      <c r="T75" s="34"/>
      <c r="U75" s="34"/>
      <c r="V75" s="34"/>
      <c r="W75" s="34"/>
    </row>
    <row r="76" spans="2:23" s="9" customFormat="1" ht="15.75" x14ac:dyDescent="0.25">
      <c r="B76" s="20" t="s">
        <v>82</v>
      </c>
      <c r="C76" s="77" t="s">
        <v>223</v>
      </c>
      <c r="D76" s="20" t="s">
        <v>36</v>
      </c>
      <c r="E76" s="9">
        <v>107</v>
      </c>
      <c r="F76" s="9">
        <v>162</v>
      </c>
      <c r="G76" s="9">
        <v>7</v>
      </c>
      <c r="I76" s="9">
        <v>8</v>
      </c>
      <c r="M76" s="34">
        <f t="shared" si="8"/>
        <v>284</v>
      </c>
      <c r="N76" s="47">
        <f t="shared" si="9"/>
        <v>0.19915848527349228</v>
      </c>
      <c r="O76" s="47"/>
      <c r="P76" s="34"/>
      <c r="Q76" s="34"/>
      <c r="R76" s="34"/>
      <c r="S76" s="34"/>
      <c r="T76" s="34"/>
      <c r="U76" s="34"/>
      <c r="V76" s="34"/>
      <c r="W76" s="34"/>
    </row>
    <row r="77" spans="2:23" s="9" customFormat="1" ht="15.75" x14ac:dyDescent="0.25">
      <c r="B77" s="6" t="s">
        <v>68</v>
      </c>
      <c r="C77" s="77" t="s">
        <v>224</v>
      </c>
      <c r="D77" s="6" t="s">
        <v>37</v>
      </c>
      <c r="E77" s="9">
        <v>4</v>
      </c>
      <c r="F77" s="9">
        <v>4</v>
      </c>
      <c r="G77" s="9">
        <v>1</v>
      </c>
      <c r="M77" s="34">
        <f t="shared" si="8"/>
        <v>9</v>
      </c>
      <c r="N77" s="47">
        <f t="shared" si="9"/>
        <v>6.311360448807854E-3</v>
      </c>
      <c r="O77" s="47"/>
      <c r="P77" s="34"/>
      <c r="Q77" s="34"/>
      <c r="R77" s="34"/>
      <c r="S77" s="34"/>
      <c r="T77" s="34"/>
      <c r="U77" s="34"/>
      <c r="V77" s="34"/>
      <c r="W77" s="34"/>
    </row>
    <row r="78" spans="2:23" s="9" customFormat="1" ht="15.75" x14ac:dyDescent="0.25">
      <c r="B78" s="6" t="s">
        <v>70</v>
      </c>
      <c r="C78" s="77" t="s">
        <v>225</v>
      </c>
      <c r="D78" s="6" t="s">
        <v>39</v>
      </c>
      <c r="M78" s="34">
        <f t="shared" si="8"/>
        <v>0</v>
      </c>
      <c r="N78" s="47">
        <f t="shared" si="9"/>
        <v>0</v>
      </c>
      <c r="O78" s="47"/>
      <c r="P78" s="34"/>
      <c r="Q78" s="34"/>
      <c r="R78" s="34"/>
      <c r="S78" s="34"/>
      <c r="T78" s="34"/>
      <c r="U78" s="34"/>
      <c r="V78" s="34"/>
      <c r="W78" s="34"/>
    </row>
    <row r="79" spans="2:23" s="9" customFormat="1" ht="15.75" x14ac:dyDescent="0.25">
      <c r="B79" s="6" t="s">
        <v>83</v>
      </c>
      <c r="C79" s="77" t="s">
        <v>226</v>
      </c>
      <c r="D79" s="20" t="s">
        <v>40</v>
      </c>
      <c r="F79" s="9">
        <v>27</v>
      </c>
      <c r="G79" s="9">
        <v>2</v>
      </c>
      <c r="M79" s="34">
        <f t="shared" si="8"/>
        <v>29</v>
      </c>
      <c r="N79" s="47">
        <f t="shared" si="9"/>
        <v>2.0336605890603085E-2</v>
      </c>
      <c r="O79" s="47"/>
      <c r="P79" s="34"/>
      <c r="Q79" s="34"/>
      <c r="R79" s="34"/>
      <c r="S79" s="34"/>
      <c r="T79" s="34"/>
      <c r="U79" s="34"/>
      <c r="V79" s="34"/>
      <c r="W79" s="34"/>
    </row>
    <row r="80" spans="2:23" s="9" customFormat="1" ht="15.75" x14ac:dyDescent="0.25">
      <c r="B80" s="6" t="s">
        <v>84</v>
      </c>
      <c r="C80" s="77" t="s">
        <v>227</v>
      </c>
      <c r="D80" s="6" t="s">
        <v>46</v>
      </c>
      <c r="E80" s="9">
        <v>10</v>
      </c>
      <c r="F80" s="9">
        <v>20</v>
      </c>
      <c r="M80" s="34">
        <f t="shared" si="8"/>
        <v>30</v>
      </c>
      <c r="N80" s="47">
        <f t="shared" si="9"/>
        <v>2.1037868162692847E-2</v>
      </c>
      <c r="O80" s="47"/>
      <c r="P80" s="34"/>
      <c r="Q80" s="34"/>
      <c r="R80" s="34"/>
      <c r="S80" s="34"/>
      <c r="T80" s="34"/>
      <c r="U80" s="34"/>
      <c r="V80" s="34"/>
      <c r="W80" s="34"/>
    </row>
    <row r="81" spans="2:26" s="9" customFormat="1" ht="15.75" x14ac:dyDescent="0.25">
      <c r="B81" s="6" t="s">
        <v>72</v>
      </c>
      <c r="C81" s="77" t="s">
        <v>228</v>
      </c>
      <c r="D81" s="20" t="s">
        <v>42</v>
      </c>
      <c r="I81" s="9">
        <v>11</v>
      </c>
      <c r="M81" s="34">
        <f t="shared" si="8"/>
        <v>11</v>
      </c>
      <c r="N81" s="47">
        <f t="shared" si="9"/>
        <v>7.7138849929873771E-3</v>
      </c>
      <c r="O81" s="47"/>
      <c r="P81" s="34"/>
      <c r="Q81" s="34"/>
      <c r="R81" s="34"/>
      <c r="S81" s="34"/>
      <c r="T81" s="34"/>
      <c r="U81" s="34"/>
      <c r="V81" s="34"/>
      <c r="W81" s="34"/>
    </row>
    <row r="82" spans="2:26" s="9" customFormat="1" ht="15.75" x14ac:dyDescent="0.25">
      <c r="B82" s="6" t="s">
        <v>74</v>
      </c>
      <c r="C82" s="77" t="s">
        <v>229</v>
      </c>
      <c r="D82" s="6" t="s">
        <v>44</v>
      </c>
      <c r="E82" s="9">
        <v>4</v>
      </c>
      <c r="F82" s="9">
        <v>25</v>
      </c>
      <c r="L82" s="9">
        <v>13</v>
      </c>
      <c r="M82" s="34">
        <f t="shared" si="8"/>
        <v>42</v>
      </c>
      <c r="N82" s="47">
        <f t="shared" si="9"/>
        <v>2.9453015427769985E-2</v>
      </c>
      <c r="O82" s="47"/>
      <c r="P82" s="34"/>
      <c r="Q82" s="34"/>
      <c r="R82" s="34"/>
      <c r="S82" s="34"/>
      <c r="T82" s="34"/>
      <c r="U82" s="34"/>
      <c r="V82" s="34"/>
      <c r="W82" s="34"/>
    </row>
    <row r="83" spans="2:26" s="9" customFormat="1" ht="15.75" x14ac:dyDescent="0.25">
      <c r="B83" s="6" t="s">
        <v>75</v>
      </c>
      <c r="C83" s="77" t="s">
        <v>230</v>
      </c>
      <c r="D83" s="6" t="s">
        <v>45</v>
      </c>
      <c r="F83" s="9">
        <v>5</v>
      </c>
      <c r="I83" s="9">
        <v>8</v>
      </c>
      <c r="M83" s="34">
        <f t="shared" si="8"/>
        <v>13</v>
      </c>
      <c r="N83" s="47">
        <f t="shared" si="9"/>
        <v>9.1164095371669002E-3</v>
      </c>
      <c r="O83" s="47"/>
      <c r="P83" s="34"/>
      <c r="Q83" s="34"/>
      <c r="R83" s="34"/>
      <c r="S83" s="34"/>
      <c r="T83" s="34"/>
      <c r="U83" s="34"/>
      <c r="V83" s="34"/>
      <c r="W83" s="34"/>
    </row>
    <row r="84" spans="2:26" s="9" customFormat="1" ht="15.75" x14ac:dyDescent="0.25">
      <c r="B84" s="6" t="s">
        <v>85</v>
      </c>
      <c r="C84" s="77" t="s">
        <v>231</v>
      </c>
      <c r="E84" s="9">
        <v>11</v>
      </c>
      <c r="F84" s="9">
        <v>4</v>
      </c>
      <c r="I84" s="9">
        <v>1</v>
      </c>
      <c r="M84" s="34">
        <f t="shared" si="8"/>
        <v>16</v>
      </c>
      <c r="N84" s="47">
        <f t="shared" si="9"/>
        <v>1.1220196353436185E-2</v>
      </c>
      <c r="O84" s="47"/>
      <c r="P84" s="34"/>
      <c r="Q84" s="34"/>
      <c r="R84" s="34"/>
      <c r="S84" s="34"/>
      <c r="T84" s="34"/>
      <c r="U84" s="34"/>
      <c r="V84" s="34"/>
      <c r="W84" s="34"/>
    </row>
    <row r="85" spans="2:26" s="9" customFormat="1" ht="16.5" thickBot="1" x14ac:dyDescent="0.3">
      <c r="B85" s="8" t="s">
        <v>119</v>
      </c>
      <c r="C85" s="77"/>
      <c r="E85" s="35">
        <f t="shared" ref="E85:N85" si="10">SUM(E48:E84)</f>
        <v>329</v>
      </c>
      <c r="F85" s="35">
        <f t="shared" si="10"/>
        <v>742</v>
      </c>
      <c r="G85" s="35">
        <f t="shared" si="10"/>
        <v>29</v>
      </c>
      <c r="H85" s="35">
        <f t="shared" si="10"/>
        <v>195</v>
      </c>
      <c r="I85" s="35">
        <f t="shared" si="10"/>
        <v>52</v>
      </c>
      <c r="J85" s="35">
        <f t="shared" si="10"/>
        <v>2</v>
      </c>
      <c r="K85" s="35">
        <f t="shared" si="10"/>
        <v>64</v>
      </c>
      <c r="L85" s="35">
        <f t="shared" si="10"/>
        <v>13</v>
      </c>
      <c r="M85" s="35">
        <f t="shared" si="10"/>
        <v>1426</v>
      </c>
      <c r="N85" s="58">
        <f t="shared" si="10"/>
        <v>0.99999999999999989</v>
      </c>
      <c r="O85" s="61"/>
      <c r="P85" s="34"/>
      <c r="Q85" s="34"/>
      <c r="R85" s="34"/>
      <c r="S85" s="34"/>
      <c r="T85" s="34"/>
      <c r="U85" s="34"/>
      <c r="V85" s="34"/>
      <c r="W85" s="34"/>
    </row>
    <row r="86" spans="2:26" s="9" customFormat="1" ht="16.5" thickTop="1" x14ac:dyDescent="0.25">
      <c r="B86" s="6"/>
      <c r="C86" s="77"/>
      <c r="E86" s="34"/>
      <c r="F86" s="36"/>
      <c r="G86" s="36" t="s">
        <v>118</v>
      </c>
      <c r="H86" s="34">
        <f>+H85+F85</f>
        <v>937</v>
      </c>
      <c r="I86" s="34"/>
      <c r="J86" s="34"/>
      <c r="K86" s="34"/>
      <c r="L86" s="63" t="s">
        <v>180</v>
      </c>
      <c r="M86" s="34">
        <v>32</v>
      </c>
      <c r="N86" s="10">
        <f>COUNT(E48:L83)</f>
        <v>56</v>
      </c>
      <c r="O86" s="34"/>
      <c r="P86" s="34"/>
      <c r="Q86" s="34"/>
      <c r="R86" s="34"/>
      <c r="S86" s="34"/>
      <c r="T86" s="34"/>
      <c r="U86" s="34"/>
      <c r="V86" s="34"/>
      <c r="W86" s="34"/>
    </row>
    <row r="87" spans="2:26" s="9" customFormat="1" ht="15.75" x14ac:dyDescent="0.25">
      <c r="B87" s="6"/>
      <c r="C87" s="77"/>
      <c r="D87" s="55" t="s">
        <v>177</v>
      </c>
      <c r="E87" s="56">
        <f t="shared" ref="E87:M87" si="11">+E85/$M85</f>
        <v>0.23071528751753156</v>
      </c>
      <c r="F87" s="56">
        <f t="shared" si="11"/>
        <v>0.52033660589060304</v>
      </c>
      <c r="G87" s="56">
        <f t="shared" si="11"/>
        <v>2.0336605890603085E-2</v>
      </c>
      <c r="H87" s="56">
        <f t="shared" si="11"/>
        <v>0.13674614305750352</v>
      </c>
      <c r="I87" s="56">
        <f t="shared" si="11"/>
        <v>3.6465638148667601E-2</v>
      </c>
      <c r="J87" s="56">
        <f t="shared" si="11"/>
        <v>1.4025245441795231E-3</v>
      </c>
      <c r="K87" s="56">
        <f t="shared" si="11"/>
        <v>4.4880785413744739E-2</v>
      </c>
      <c r="L87" s="56">
        <f t="shared" si="11"/>
        <v>9.1164095371669002E-3</v>
      </c>
      <c r="M87" s="56">
        <f t="shared" si="11"/>
        <v>1</v>
      </c>
      <c r="N87" s="34"/>
      <c r="O87" s="34"/>
      <c r="P87" s="34"/>
      <c r="Q87" s="34"/>
      <c r="R87" s="34"/>
      <c r="S87" s="34"/>
      <c r="T87" s="34"/>
      <c r="U87" s="34"/>
      <c r="V87" s="34"/>
      <c r="W87" s="34"/>
    </row>
    <row r="88" spans="2:26" s="9" customFormat="1" ht="15.75" x14ac:dyDescent="0.25">
      <c r="B88" s="6"/>
      <c r="C88" s="5"/>
      <c r="D88" s="55"/>
      <c r="E88" s="56"/>
      <c r="F88" s="56"/>
      <c r="G88" s="56"/>
      <c r="H88" s="56"/>
      <c r="I88" s="56"/>
      <c r="J88" s="56"/>
      <c r="K88" s="56"/>
      <c r="L88" s="56"/>
      <c r="M88" s="56"/>
      <c r="N88" s="34"/>
      <c r="O88" s="34"/>
      <c r="P88" s="34"/>
      <c r="Q88" s="34"/>
      <c r="R88" s="34"/>
      <c r="S88" s="34"/>
      <c r="T88" s="34"/>
      <c r="U88" s="34"/>
      <c r="V88" s="34"/>
      <c r="W88" s="34"/>
    </row>
    <row r="89" spans="2:26" s="9" customFormat="1" ht="15.75" x14ac:dyDescent="0.25">
      <c r="B89" s="5" t="s">
        <v>169</v>
      </c>
      <c r="C89" s="19"/>
      <c r="D89" s="6"/>
      <c r="E89" s="34"/>
      <c r="F89" s="36"/>
      <c r="G89" s="34"/>
      <c r="H89" s="34"/>
      <c r="I89" s="34"/>
      <c r="J89" s="34"/>
      <c r="K89" s="34"/>
      <c r="L89" s="34"/>
      <c r="M89" s="34"/>
      <c r="N89" s="34"/>
      <c r="O89" s="34"/>
      <c r="P89" s="38" t="s">
        <v>170</v>
      </c>
      <c r="Q89" s="34"/>
      <c r="R89" s="36"/>
      <c r="S89" s="34"/>
      <c r="T89" s="34"/>
      <c r="U89" s="34"/>
      <c r="V89" s="34"/>
      <c r="W89" s="34"/>
      <c r="X89" s="34"/>
      <c r="Z89" s="136">
        <f>9/904</f>
        <v>9.9557522123893804E-3</v>
      </c>
    </row>
    <row r="90" spans="2:26" s="9" customFormat="1" ht="15.75" x14ac:dyDescent="0.25">
      <c r="B90" s="19" t="s">
        <v>47</v>
      </c>
      <c r="C90" s="6"/>
      <c r="D90" s="19" t="s">
        <v>187</v>
      </c>
      <c r="E90" s="34"/>
      <c r="F90" s="36"/>
      <c r="G90" s="34"/>
      <c r="H90" s="34"/>
      <c r="I90" s="34"/>
      <c r="J90" s="34"/>
      <c r="K90" s="34"/>
      <c r="L90" s="34"/>
      <c r="M90" s="34"/>
      <c r="N90" s="135"/>
      <c r="O90" s="34"/>
      <c r="P90" s="39" t="s">
        <v>47</v>
      </c>
      <c r="Q90" s="34"/>
      <c r="R90" s="36"/>
      <c r="S90" s="34"/>
      <c r="T90" s="34"/>
      <c r="U90" s="34"/>
      <c r="V90" s="34"/>
      <c r="W90" s="34"/>
      <c r="X90" s="34"/>
    </row>
    <row r="91" spans="2:26" s="9" customFormat="1" ht="15.75" x14ac:dyDescent="0.25">
      <c r="B91" s="18" t="s">
        <v>76</v>
      </c>
      <c r="C91" s="6"/>
      <c r="D91" s="82" t="s">
        <v>188</v>
      </c>
      <c r="E91" s="37" t="s">
        <v>24</v>
      </c>
      <c r="F91" s="37" t="s">
        <v>137</v>
      </c>
      <c r="G91" s="37" t="s">
        <v>138</v>
      </c>
      <c r="H91" s="37" t="s">
        <v>137</v>
      </c>
      <c r="I91" s="37" t="s">
        <v>139</v>
      </c>
      <c r="J91" s="37" t="s">
        <v>143</v>
      </c>
      <c r="K91" s="37" t="s">
        <v>144</v>
      </c>
      <c r="L91" s="37" t="s">
        <v>145</v>
      </c>
      <c r="M91" s="37" t="s">
        <v>116</v>
      </c>
      <c r="N91" s="7" t="s">
        <v>177</v>
      </c>
      <c r="O91" s="7"/>
      <c r="P91" s="40" t="s">
        <v>11</v>
      </c>
      <c r="Q91" s="37" t="s">
        <v>24</v>
      </c>
      <c r="R91" s="37" t="s">
        <v>137</v>
      </c>
      <c r="S91" s="37" t="s">
        <v>138</v>
      </c>
      <c r="T91" s="37" t="s">
        <v>137</v>
      </c>
      <c r="U91" s="37" t="s">
        <v>139</v>
      </c>
      <c r="V91" s="37" t="s">
        <v>143</v>
      </c>
      <c r="W91" s="37" t="s">
        <v>144</v>
      </c>
      <c r="X91" s="37" t="s">
        <v>145</v>
      </c>
      <c r="Y91" s="7" t="s">
        <v>116</v>
      </c>
      <c r="Z91" s="7" t="s">
        <v>177</v>
      </c>
    </row>
    <row r="92" spans="2:26" s="9" customFormat="1" ht="15.75" x14ac:dyDescent="0.25">
      <c r="B92" s="6" t="s">
        <v>62</v>
      </c>
      <c r="C92" s="77" t="s">
        <v>197</v>
      </c>
      <c r="D92" s="82" t="s">
        <v>27</v>
      </c>
      <c r="E92" s="81"/>
      <c r="M92" s="34">
        <f t="shared" ref="M92:M128" si="12">SUM(E92:L92)</f>
        <v>0</v>
      </c>
      <c r="N92" s="47">
        <f t="shared" ref="N92:N128" si="13">+M92/M$129</f>
        <v>0</v>
      </c>
      <c r="O92" s="77" t="s">
        <v>197</v>
      </c>
      <c r="P92" s="116" t="s">
        <v>27</v>
      </c>
      <c r="Q92" s="81"/>
      <c r="Y92" s="9">
        <f t="shared" ref="Y92:Y128" si="14">SUM(Q92:X92)</f>
        <v>0</v>
      </c>
      <c r="Z92" s="47">
        <f t="shared" ref="Z92:Z128" si="15">+Y92/Y$129</f>
        <v>0</v>
      </c>
    </row>
    <row r="93" spans="2:26" s="9" customFormat="1" ht="15.75" x14ac:dyDescent="0.25">
      <c r="B93" s="6" t="s">
        <v>63</v>
      </c>
      <c r="C93" s="77" t="s">
        <v>198</v>
      </c>
      <c r="D93" s="82" t="s">
        <v>28</v>
      </c>
      <c r="E93" s="81"/>
      <c r="J93" s="81">
        <v>1</v>
      </c>
      <c r="M93" s="34">
        <f t="shared" si="12"/>
        <v>1</v>
      </c>
      <c r="N93" s="47">
        <f t="shared" si="13"/>
        <v>6.4516129032258064E-3</v>
      </c>
      <c r="O93" s="77" t="s">
        <v>198</v>
      </c>
      <c r="P93" s="116" t="s">
        <v>28</v>
      </c>
      <c r="Q93" s="81">
        <v>3</v>
      </c>
      <c r="V93" s="81">
        <v>11</v>
      </c>
      <c r="W93" s="9">
        <v>29</v>
      </c>
      <c r="Y93" s="9">
        <f t="shared" si="14"/>
        <v>43</v>
      </c>
      <c r="Z93" s="47">
        <f t="shared" si="15"/>
        <v>4.7566371681415927E-2</v>
      </c>
    </row>
    <row r="94" spans="2:26" s="9" customFormat="1" ht="15.75" x14ac:dyDescent="0.25">
      <c r="B94" s="6" t="s">
        <v>53</v>
      </c>
      <c r="C94" s="77" t="s">
        <v>213</v>
      </c>
      <c r="D94" s="82" t="s">
        <v>18</v>
      </c>
      <c r="E94" s="80"/>
      <c r="M94" s="34">
        <f t="shared" si="12"/>
        <v>0</v>
      </c>
      <c r="N94" s="47">
        <f t="shared" si="13"/>
        <v>0</v>
      </c>
      <c r="O94" s="77" t="s">
        <v>213</v>
      </c>
      <c r="P94" s="116" t="s">
        <v>18</v>
      </c>
      <c r="Q94" s="81">
        <v>3</v>
      </c>
      <c r="Y94" s="9">
        <f t="shared" si="14"/>
        <v>3</v>
      </c>
      <c r="Z94" s="47">
        <f t="shared" si="15"/>
        <v>3.3185840707964601E-3</v>
      </c>
    </row>
    <row r="95" spans="2:26" s="9" customFormat="1" ht="15.75" x14ac:dyDescent="0.25">
      <c r="B95" s="6" t="s">
        <v>55</v>
      </c>
      <c r="C95" s="77" t="s">
        <v>199</v>
      </c>
      <c r="D95" s="82" t="s">
        <v>20</v>
      </c>
      <c r="E95" s="81"/>
      <c r="J95" s="81"/>
      <c r="M95" s="34">
        <f t="shared" si="12"/>
        <v>0</v>
      </c>
      <c r="N95" s="47">
        <f t="shared" si="13"/>
        <v>0</v>
      </c>
      <c r="O95" s="77" t="s">
        <v>199</v>
      </c>
      <c r="P95" s="116" t="s">
        <v>20</v>
      </c>
      <c r="Q95" s="81">
        <v>27</v>
      </c>
      <c r="V95" s="81">
        <v>10</v>
      </c>
      <c r="Y95" s="9">
        <f t="shared" si="14"/>
        <v>37</v>
      </c>
      <c r="Z95" s="47">
        <f t="shared" si="15"/>
        <v>4.092920353982301E-2</v>
      </c>
    </row>
    <row r="96" spans="2:26" s="9" customFormat="1" ht="15.75" x14ac:dyDescent="0.25">
      <c r="B96" s="6" t="s">
        <v>56</v>
      </c>
      <c r="C96" s="77" t="s">
        <v>200</v>
      </c>
      <c r="D96" s="82" t="s">
        <v>21</v>
      </c>
      <c r="E96" s="81">
        <v>4</v>
      </c>
      <c r="M96" s="34">
        <f t="shared" si="12"/>
        <v>4</v>
      </c>
      <c r="N96" s="47">
        <f t="shared" si="13"/>
        <v>2.5806451612903226E-2</v>
      </c>
      <c r="O96" s="77" t="s">
        <v>200</v>
      </c>
      <c r="P96" s="116" t="s">
        <v>21</v>
      </c>
      <c r="Q96" s="81">
        <v>20</v>
      </c>
      <c r="Y96" s="9">
        <f t="shared" si="14"/>
        <v>20</v>
      </c>
      <c r="Z96" s="47">
        <f t="shared" si="15"/>
        <v>2.2123893805309734E-2</v>
      </c>
    </row>
    <row r="97" spans="2:26" s="9" customFormat="1" ht="15.75" x14ac:dyDescent="0.25">
      <c r="B97" s="6" t="s">
        <v>57</v>
      </c>
      <c r="C97" s="77" t="s">
        <v>201</v>
      </c>
      <c r="D97" s="82" t="s">
        <v>22</v>
      </c>
      <c r="E97" s="81">
        <v>9</v>
      </c>
      <c r="M97" s="34">
        <f t="shared" si="12"/>
        <v>9</v>
      </c>
      <c r="N97" s="47">
        <f t="shared" si="13"/>
        <v>5.8064516129032261E-2</v>
      </c>
      <c r="O97" s="77" t="s">
        <v>201</v>
      </c>
      <c r="P97" s="116" t="s">
        <v>22</v>
      </c>
      <c r="Q97" s="81">
        <v>37</v>
      </c>
      <c r="Y97" s="9">
        <f t="shared" si="14"/>
        <v>37</v>
      </c>
      <c r="Z97" s="47">
        <f t="shared" si="15"/>
        <v>4.092920353982301E-2</v>
      </c>
    </row>
    <row r="98" spans="2:26" s="9" customFormat="1" ht="15.75" x14ac:dyDescent="0.25">
      <c r="B98" s="6" t="s">
        <v>79</v>
      </c>
      <c r="C98" s="77" t="s">
        <v>202</v>
      </c>
      <c r="D98" s="82" t="s">
        <v>31</v>
      </c>
      <c r="E98" s="81">
        <v>4</v>
      </c>
      <c r="M98" s="34">
        <f t="shared" si="12"/>
        <v>4</v>
      </c>
      <c r="N98" s="47">
        <f t="shared" si="13"/>
        <v>2.5806451612903226E-2</v>
      </c>
      <c r="O98" s="77" t="s">
        <v>202</v>
      </c>
      <c r="P98" s="116" t="s">
        <v>31</v>
      </c>
      <c r="Q98" s="81">
        <v>21</v>
      </c>
      <c r="Y98" s="9">
        <f t="shared" si="14"/>
        <v>21</v>
      </c>
      <c r="Z98" s="47">
        <f t="shared" si="15"/>
        <v>2.3230088495575223E-2</v>
      </c>
    </row>
    <row r="99" spans="2:26" s="9" customFormat="1" ht="15.75" x14ac:dyDescent="0.25">
      <c r="B99" s="6" t="s">
        <v>67</v>
      </c>
      <c r="C99" s="77" t="s">
        <v>203</v>
      </c>
      <c r="D99" s="82" t="s">
        <v>33</v>
      </c>
      <c r="E99" s="81">
        <v>3</v>
      </c>
      <c r="M99" s="34">
        <f t="shared" si="12"/>
        <v>3</v>
      </c>
      <c r="N99" s="47">
        <f t="shared" si="13"/>
        <v>1.935483870967742E-2</v>
      </c>
      <c r="O99" s="77" t="s">
        <v>203</v>
      </c>
      <c r="P99" s="116" t="s">
        <v>33</v>
      </c>
      <c r="Q99" s="81">
        <v>3</v>
      </c>
      <c r="Y99" s="9">
        <f t="shared" si="14"/>
        <v>3</v>
      </c>
      <c r="Z99" s="47">
        <f t="shared" si="15"/>
        <v>3.3185840707964601E-3</v>
      </c>
    </row>
    <row r="100" spans="2:26" s="9" customFormat="1" ht="15.75" x14ac:dyDescent="0.25">
      <c r="B100" s="6" t="s">
        <v>69</v>
      </c>
      <c r="C100" s="77" t="s">
        <v>204</v>
      </c>
      <c r="D100" s="82" t="s">
        <v>38</v>
      </c>
      <c r="E100" s="81"/>
      <c r="M100" s="34">
        <f t="shared" si="12"/>
        <v>0</v>
      </c>
      <c r="N100" s="47">
        <f t="shared" si="13"/>
        <v>0</v>
      </c>
      <c r="O100" s="77" t="s">
        <v>204</v>
      </c>
      <c r="P100" s="116" t="s">
        <v>38</v>
      </c>
      <c r="Q100" s="81">
        <v>5</v>
      </c>
      <c r="Y100" s="9">
        <f t="shared" si="14"/>
        <v>5</v>
      </c>
      <c r="Z100" s="47">
        <f t="shared" si="15"/>
        <v>5.5309734513274336E-3</v>
      </c>
    </row>
    <row r="101" spans="2:26" s="9" customFormat="1" ht="15.75" x14ac:dyDescent="0.25">
      <c r="B101" s="6" t="s">
        <v>71</v>
      </c>
      <c r="C101" s="77" t="s">
        <v>205</v>
      </c>
      <c r="D101" s="82" t="s">
        <v>41</v>
      </c>
      <c r="E101" s="81">
        <v>2</v>
      </c>
      <c r="M101" s="34">
        <f t="shared" si="12"/>
        <v>2</v>
      </c>
      <c r="N101" s="47">
        <f t="shared" si="13"/>
        <v>1.2903225806451613E-2</v>
      </c>
      <c r="O101" s="77" t="s">
        <v>205</v>
      </c>
      <c r="P101" s="116" t="s">
        <v>41</v>
      </c>
      <c r="Q101" s="81">
        <v>9</v>
      </c>
      <c r="Y101" s="9">
        <f t="shared" si="14"/>
        <v>9</v>
      </c>
      <c r="Z101" s="47">
        <f t="shared" si="15"/>
        <v>9.9557522123893804E-3</v>
      </c>
    </row>
    <row r="102" spans="2:26" s="9" customFormat="1" ht="15.75" x14ac:dyDescent="0.25">
      <c r="B102" s="6" t="s">
        <v>73</v>
      </c>
      <c r="C102" s="77" t="s">
        <v>206</v>
      </c>
      <c r="D102" s="82" t="s">
        <v>43</v>
      </c>
      <c r="E102" s="81">
        <v>2</v>
      </c>
      <c r="M102" s="34">
        <f t="shared" si="12"/>
        <v>2</v>
      </c>
      <c r="N102" s="47">
        <f t="shared" si="13"/>
        <v>1.2903225806451613E-2</v>
      </c>
      <c r="O102" s="77" t="s">
        <v>206</v>
      </c>
      <c r="P102" s="116" t="s">
        <v>43</v>
      </c>
      <c r="Q102" s="81">
        <v>25</v>
      </c>
      <c r="Y102" s="9">
        <f t="shared" si="14"/>
        <v>25</v>
      </c>
      <c r="Z102" s="47">
        <f t="shared" si="15"/>
        <v>2.7654867256637169E-2</v>
      </c>
    </row>
    <row r="103" spans="2:26" s="9" customFormat="1" ht="15.75" x14ac:dyDescent="0.25">
      <c r="B103" s="6" t="s">
        <v>61</v>
      </c>
      <c r="C103" s="77" t="s">
        <v>196</v>
      </c>
      <c r="D103" s="6" t="s">
        <v>26</v>
      </c>
      <c r="M103" s="34">
        <f t="shared" si="12"/>
        <v>0</v>
      </c>
      <c r="N103" s="47">
        <f t="shared" si="13"/>
        <v>0</v>
      </c>
      <c r="O103" s="77" t="s">
        <v>196</v>
      </c>
      <c r="P103" s="41" t="s">
        <v>26</v>
      </c>
      <c r="W103" s="9">
        <v>9</v>
      </c>
      <c r="Y103" s="9">
        <f t="shared" si="14"/>
        <v>9</v>
      </c>
      <c r="Z103" s="47">
        <f t="shared" si="15"/>
        <v>9.9557522123893804E-3</v>
      </c>
    </row>
    <row r="104" spans="2:26" s="9" customFormat="1" ht="15.75" x14ac:dyDescent="0.25">
      <c r="B104" s="6" t="s">
        <v>48</v>
      </c>
      <c r="C104" s="77" t="s">
        <v>207</v>
      </c>
      <c r="D104" s="6" t="s">
        <v>12</v>
      </c>
      <c r="E104" s="9">
        <v>3</v>
      </c>
      <c r="M104" s="34">
        <f t="shared" si="12"/>
        <v>3</v>
      </c>
      <c r="N104" s="47">
        <f t="shared" si="13"/>
        <v>1.935483870967742E-2</v>
      </c>
      <c r="O104" s="77" t="s">
        <v>207</v>
      </c>
      <c r="P104" s="41" t="s">
        <v>12</v>
      </c>
      <c r="Q104" s="9">
        <v>19</v>
      </c>
      <c r="Y104" s="9">
        <f t="shared" si="14"/>
        <v>19</v>
      </c>
      <c r="Z104" s="47">
        <f t="shared" si="15"/>
        <v>2.1017699115044249E-2</v>
      </c>
    </row>
    <row r="105" spans="2:26" s="9" customFormat="1" ht="15.75" x14ac:dyDescent="0.25">
      <c r="B105" s="6" t="s">
        <v>77</v>
      </c>
      <c r="C105" s="77" t="s">
        <v>208</v>
      </c>
      <c r="D105" s="20" t="s">
        <v>13</v>
      </c>
      <c r="F105" s="9">
        <v>6</v>
      </c>
      <c r="G105" s="9">
        <v>1</v>
      </c>
      <c r="M105" s="34">
        <f t="shared" si="12"/>
        <v>7</v>
      </c>
      <c r="N105" s="47">
        <f t="shared" si="13"/>
        <v>4.5161290322580643E-2</v>
      </c>
      <c r="O105" s="77" t="s">
        <v>208</v>
      </c>
      <c r="P105" s="42" t="s">
        <v>13</v>
      </c>
      <c r="R105" s="9">
        <v>14</v>
      </c>
      <c r="S105" s="9">
        <v>3</v>
      </c>
      <c r="Y105" s="9">
        <f t="shared" si="14"/>
        <v>17</v>
      </c>
      <c r="Z105" s="47">
        <f t="shared" si="15"/>
        <v>1.8805309734513276E-2</v>
      </c>
    </row>
    <row r="106" spans="2:26" s="9" customFormat="1" ht="15.75" x14ac:dyDescent="0.25">
      <c r="B106" s="6" t="s">
        <v>49</v>
      </c>
      <c r="C106" s="77" t="s">
        <v>209</v>
      </c>
      <c r="D106" s="6" t="s">
        <v>14</v>
      </c>
      <c r="M106" s="34">
        <f t="shared" si="12"/>
        <v>0</v>
      </c>
      <c r="N106" s="47">
        <f t="shared" si="13"/>
        <v>0</v>
      </c>
      <c r="O106" s="77" t="s">
        <v>209</v>
      </c>
      <c r="P106" s="41" t="s">
        <v>14</v>
      </c>
      <c r="Q106" s="9">
        <v>3</v>
      </c>
      <c r="Y106" s="9">
        <f t="shared" si="14"/>
        <v>3</v>
      </c>
      <c r="Z106" s="47">
        <f t="shared" si="15"/>
        <v>3.3185840707964601E-3</v>
      </c>
    </row>
    <row r="107" spans="2:26" s="9" customFormat="1" ht="15.75" x14ac:dyDescent="0.25">
      <c r="B107" s="6" t="s">
        <v>50</v>
      </c>
      <c r="C107" s="77" t="s">
        <v>210</v>
      </c>
      <c r="D107" s="6" t="s">
        <v>15</v>
      </c>
      <c r="E107" s="9">
        <v>3</v>
      </c>
      <c r="F107" s="9">
        <v>3</v>
      </c>
      <c r="G107" s="9">
        <v>1</v>
      </c>
      <c r="M107" s="34">
        <f t="shared" si="12"/>
        <v>7</v>
      </c>
      <c r="N107" s="47">
        <f t="shared" si="13"/>
        <v>4.5161290322580643E-2</v>
      </c>
      <c r="O107" s="77" t="s">
        <v>210</v>
      </c>
      <c r="P107" s="41" t="s">
        <v>15</v>
      </c>
      <c r="Q107" s="9">
        <v>31</v>
      </c>
      <c r="R107" s="9">
        <v>14</v>
      </c>
      <c r="S107" s="9">
        <v>5</v>
      </c>
      <c r="Y107" s="9">
        <f t="shared" si="14"/>
        <v>50</v>
      </c>
      <c r="Z107" s="47">
        <f t="shared" si="15"/>
        <v>5.5309734513274339E-2</v>
      </c>
    </row>
    <row r="108" spans="2:26" s="9" customFormat="1" ht="15.75" x14ac:dyDescent="0.25">
      <c r="B108" s="6" t="s">
        <v>51</v>
      </c>
      <c r="C108" s="77" t="s">
        <v>211</v>
      </c>
      <c r="D108" s="6" t="s">
        <v>16</v>
      </c>
      <c r="G108" s="9">
        <v>1</v>
      </c>
      <c r="K108" s="9">
        <v>5</v>
      </c>
      <c r="M108" s="34">
        <f t="shared" si="12"/>
        <v>6</v>
      </c>
      <c r="N108" s="47">
        <f t="shared" si="13"/>
        <v>3.870967741935484E-2</v>
      </c>
      <c r="O108" s="77" t="s">
        <v>211</v>
      </c>
      <c r="P108" s="41" t="s">
        <v>16</v>
      </c>
      <c r="S108" s="9">
        <v>2</v>
      </c>
      <c r="W108" s="9">
        <v>22</v>
      </c>
      <c r="Y108" s="9">
        <f t="shared" si="14"/>
        <v>24</v>
      </c>
      <c r="Z108" s="47">
        <f t="shared" si="15"/>
        <v>2.6548672566371681E-2</v>
      </c>
    </row>
    <row r="109" spans="2:26" s="9" customFormat="1" ht="15.75" x14ac:dyDescent="0.25">
      <c r="B109" s="6" t="s">
        <v>52</v>
      </c>
      <c r="C109" s="77" t="s">
        <v>212</v>
      </c>
      <c r="D109" s="6" t="s">
        <v>17</v>
      </c>
      <c r="G109" s="9">
        <v>1</v>
      </c>
      <c r="M109" s="34">
        <f t="shared" si="12"/>
        <v>1</v>
      </c>
      <c r="N109" s="47">
        <f t="shared" si="13"/>
        <v>6.4516129032258064E-3</v>
      </c>
      <c r="O109" s="77" t="s">
        <v>212</v>
      </c>
      <c r="P109" s="41" t="s">
        <v>17</v>
      </c>
      <c r="S109" s="9">
        <v>4</v>
      </c>
      <c r="Y109" s="9">
        <f t="shared" si="14"/>
        <v>4</v>
      </c>
      <c r="Z109" s="47">
        <f t="shared" si="15"/>
        <v>4.4247787610619468E-3</v>
      </c>
    </row>
    <row r="110" spans="2:26" s="9" customFormat="1" ht="15.75" x14ac:dyDescent="0.25">
      <c r="B110" s="6" t="s">
        <v>54</v>
      </c>
      <c r="C110" s="77" t="s">
        <v>214</v>
      </c>
      <c r="D110" s="6" t="s">
        <v>19</v>
      </c>
      <c r="F110" s="9">
        <v>1</v>
      </c>
      <c r="M110" s="34">
        <f t="shared" si="12"/>
        <v>1</v>
      </c>
      <c r="N110" s="47">
        <f t="shared" si="13"/>
        <v>6.4516129032258064E-3</v>
      </c>
      <c r="O110" s="77" t="s">
        <v>214</v>
      </c>
      <c r="P110" s="41" t="s">
        <v>19</v>
      </c>
      <c r="R110" s="9">
        <v>8</v>
      </c>
      <c r="Y110" s="9">
        <f t="shared" si="14"/>
        <v>8</v>
      </c>
      <c r="Z110" s="47">
        <f t="shared" si="15"/>
        <v>8.8495575221238937E-3</v>
      </c>
    </row>
    <row r="111" spans="2:26" s="9" customFormat="1" ht="15.75" x14ac:dyDescent="0.25">
      <c r="B111" s="6" t="s">
        <v>58</v>
      </c>
      <c r="C111" s="77" t="s">
        <v>232</v>
      </c>
      <c r="D111" s="6" t="s">
        <v>23</v>
      </c>
      <c r="M111" s="34">
        <f t="shared" si="12"/>
        <v>0</v>
      </c>
      <c r="N111" s="47">
        <f t="shared" si="13"/>
        <v>0</v>
      </c>
      <c r="O111" s="77" t="s">
        <v>232</v>
      </c>
      <c r="P111" s="41" t="s">
        <v>23</v>
      </c>
      <c r="V111" s="9">
        <v>39</v>
      </c>
      <c r="Y111" s="9">
        <f t="shared" si="14"/>
        <v>39</v>
      </c>
      <c r="Z111" s="47">
        <f t="shared" si="15"/>
        <v>4.314159292035398E-2</v>
      </c>
    </row>
    <row r="112" spans="2:26" s="9" customFormat="1" ht="15.75" x14ac:dyDescent="0.25">
      <c r="B112" s="6" t="s">
        <v>59</v>
      </c>
      <c r="C112" s="77" t="s">
        <v>215</v>
      </c>
      <c r="D112" s="6" t="s">
        <v>24</v>
      </c>
      <c r="F112" s="9">
        <v>16</v>
      </c>
      <c r="M112" s="34">
        <f t="shared" si="12"/>
        <v>16</v>
      </c>
      <c r="N112" s="47">
        <f t="shared" si="13"/>
        <v>0.1032258064516129</v>
      </c>
      <c r="O112" s="77" t="s">
        <v>215</v>
      </c>
      <c r="P112" s="41" t="s">
        <v>24</v>
      </c>
      <c r="R112" s="9">
        <v>62</v>
      </c>
      <c r="S112" s="9">
        <v>2</v>
      </c>
      <c r="Y112" s="9">
        <f t="shared" si="14"/>
        <v>64</v>
      </c>
      <c r="Z112" s="47">
        <f t="shared" si="15"/>
        <v>7.0796460176991149E-2</v>
      </c>
    </row>
    <row r="113" spans="2:26" s="9" customFormat="1" ht="15.75" x14ac:dyDescent="0.25">
      <c r="B113" s="6" t="s">
        <v>60</v>
      </c>
      <c r="C113" s="77" t="s">
        <v>216</v>
      </c>
      <c r="D113" s="6" t="s">
        <v>25</v>
      </c>
      <c r="F113" s="9">
        <v>1</v>
      </c>
      <c r="M113" s="34">
        <f t="shared" si="12"/>
        <v>1</v>
      </c>
      <c r="N113" s="47">
        <f t="shared" si="13"/>
        <v>6.4516129032258064E-3</v>
      </c>
      <c r="O113" s="77" t="s">
        <v>216</v>
      </c>
      <c r="P113" s="41" t="s">
        <v>25</v>
      </c>
      <c r="Y113" s="9">
        <f t="shared" si="14"/>
        <v>0</v>
      </c>
      <c r="Z113" s="47">
        <f t="shared" si="15"/>
        <v>0</v>
      </c>
    </row>
    <row r="114" spans="2:26" s="9" customFormat="1" ht="15.75" x14ac:dyDescent="0.25">
      <c r="B114" s="6" t="s">
        <v>78</v>
      </c>
      <c r="C114" s="77" t="s">
        <v>217</v>
      </c>
      <c r="D114" s="6" t="s">
        <v>195</v>
      </c>
      <c r="H114" s="84"/>
      <c r="M114" s="34">
        <f t="shared" si="12"/>
        <v>0</v>
      </c>
      <c r="N114" s="47">
        <f t="shared" si="13"/>
        <v>0</v>
      </c>
      <c r="O114" s="77" t="s">
        <v>217</v>
      </c>
      <c r="P114" s="6" t="s">
        <v>195</v>
      </c>
      <c r="T114" s="84">
        <v>9</v>
      </c>
      <c r="Y114" s="9">
        <f t="shared" si="14"/>
        <v>9</v>
      </c>
      <c r="Z114" s="47">
        <f t="shared" si="15"/>
        <v>9.9557522123893804E-3</v>
      </c>
    </row>
    <row r="115" spans="2:26" s="9" customFormat="1" ht="15.75" x14ac:dyDescent="0.25">
      <c r="B115" s="6" t="s">
        <v>64</v>
      </c>
      <c r="C115" s="77" t="s">
        <v>218</v>
      </c>
      <c r="D115" s="6" t="s">
        <v>29</v>
      </c>
      <c r="E115" s="9">
        <v>8</v>
      </c>
      <c r="F115" s="9">
        <v>15</v>
      </c>
      <c r="M115" s="34">
        <f t="shared" si="12"/>
        <v>23</v>
      </c>
      <c r="N115" s="47">
        <f t="shared" si="13"/>
        <v>0.14838709677419354</v>
      </c>
      <c r="O115" s="77" t="s">
        <v>218</v>
      </c>
      <c r="P115" s="41" t="s">
        <v>29</v>
      </c>
      <c r="Q115" s="9">
        <v>24</v>
      </c>
      <c r="R115" s="9">
        <v>52</v>
      </c>
      <c r="S115" s="9">
        <v>8</v>
      </c>
      <c r="Y115" s="9">
        <f t="shared" si="14"/>
        <v>84</v>
      </c>
      <c r="Z115" s="47">
        <f t="shared" si="15"/>
        <v>9.2920353982300891E-2</v>
      </c>
    </row>
    <row r="116" spans="2:26" s="9" customFormat="1" ht="15.75" x14ac:dyDescent="0.25">
      <c r="B116" s="6" t="s">
        <v>65</v>
      </c>
      <c r="C116" s="77" t="s">
        <v>219</v>
      </c>
      <c r="D116" s="6" t="s">
        <v>30</v>
      </c>
      <c r="M116" s="34">
        <f t="shared" si="12"/>
        <v>0</v>
      </c>
      <c r="N116" s="47">
        <f t="shared" si="13"/>
        <v>0</v>
      </c>
      <c r="O116" s="77" t="s">
        <v>219</v>
      </c>
      <c r="P116" s="41" t="s">
        <v>30</v>
      </c>
      <c r="Q116" s="9">
        <v>13</v>
      </c>
      <c r="Y116" s="9">
        <f t="shared" si="14"/>
        <v>13</v>
      </c>
      <c r="Z116" s="47">
        <f t="shared" si="15"/>
        <v>1.4380530973451327E-2</v>
      </c>
    </row>
    <row r="117" spans="2:26" s="9" customFormat="1" ht="15.75" x14ac:dyDescent="0.25">
      <c r="B117" s="6" t="s">
        <v>66</v>
      </c>
      <c r="C117" s="77" t="s">
        <v>220</v>
      </c>
      <c r="D117" s="6" t="s">
        <v>32</v>
      </c>
      <c r="G117" s="9">
        <v>1</v>
      </c>
      <c r="M117" s="34">
        <f t="shared" si="12"/>
        <v>1</v>
      </c>
      <c r="N117" s="47">
        <f t="shared" si="13"/>
        <v>6.4516129032258064E-3</v>
      </c>
      <c r="O117" s="77" t="s">
        <v>220</v>
      </c>
      <c r="P117" s="41" t="s">
        <v>32</v>
      </c>
      <c r="S117" s="9">
        <v>4</v>
      </c>
      <c r="Y117" s="9">
        <f t="shared" si="14"/>
        <v>4</v>
      </c>
      <c r="Z117" s="47">
        <f t="shared" si="15"/>
        <v>4.4247787610619468E-3</v>
      </c>
    </row>
    <row r="118" spans="2:26" s="9" customFormat="1" ht="15.75" x14ac:dyDescent="0.25">
      <c r="B118" s="20" t="s">
        <v>80</v>
      </c>
      <c r="C118" s="77" t="s">
        <v>221</v>
      </c>
      <c r="D118" s="20" t="s">
        <v>34</v>
      </c>
      <c r="M118" s="34">
        <f t="shared" si="12"/>
        <v>0</v>
      </c>
      <c r="N118" s="47">
        <f t="shared" si="13"/>
        <v>0</v>
      </c>
      <c r="O118" s="77" t="s">
        <v>221</v>
      </c>
      <c r="P118" s="42" t="s">
        <v>34</v>
      </c>
      <c r="R118" s="9">
        <v>1</v>
      </c>
      <c r="S118" s="9">
        <v>1</v>
      </c>
      <c r="W118" s="9">
        <v>20</v>
      </c>
      <c r="Y118" s="9">
        <f t="shared" si="14"/>
        <v>22</v>
      </c>
      <c r="Z118" s="47">
        <f t="shared" si="15"/>
        <v>2.4336283185840708E-2</v>
      </c>
    </row>
    <row r="119" spans="2:26" s="9" customFormat="1" ht="15.75" x14ac:dyDescent="0.25">
      <c r="B119" s="20" t="s">
        <v>81</v>
      </c>
      <c r="C119" s="77" t="s">
        <v>222</v>
      </c>
      <c r="D119" s="20" t="s">
        <v>35</v>
      </c>
      <c r="F119" s="9">
        <v>11</v>
      </c>
      <c r="M119" s="34">
        <f t="shared" si="12"/>
        <v>11</v>
      </c>
      <c r="N119" s="47">
        <f t="shared" si="13"/>
        <v>7.0967741935483872E-2</v>
      </c>
      <c r="O119" s="77" t="s">
        <v>222</v>
      </c>
      <c r="P119" s="42" t="s">
        <v>35</v>
      </c>
      <c r="R119" s="9">
        <v>98</v>
      </c>
      <c r="Y119" s="9">
        <f t="shared" si="14"/>
        <v>98</v>
      </c>
      <c r="Z119" s="47">
        <f t="shared" si="15"/>
        <v>0.1084070796460177</v>
      </c>
    </row>
    <row r="120" spans="2:26" s="9" customFormat="1" ht="15.75" x14ac:dyDescent="0.25">
      <c r="B120" s="20" t="s">
        <v>82</v>
      </c>
      <c r="C120" s="77" t="s">
        <v>223</v>
      </c>
      <c r="D120" s="20" t="s">
        <v>36</v>
      </c>
      <c r="E120" s="9">
        <v>17</v>
      </c>
      <c r="F120" s="9">
        <v>18</v>
      </c>
      <c r="G120" s="9">
        <v>2</v>
      </c>
      <c r="M120" s="34">
        <f t="shared" si="12"/>
        <v>37</v>
      </c>
      <c r="N120" s="47">
        <f t="shared" si="13"/>
        <v>0.23870967741935484</v>
      </c>
      <c r="O120" s="77" t="s">
        <v>223</v>
      </c>
      <c r="P120" s="42" t="s">
        <v>36</v>
      </c>
      <c r="Q120" s="9">
        <v>43</v>
      </c>
      <c r="R120" s="9">
        <v>71</v>
      </c>
      <c r="S120" s="9">
        <v>5</v>
      </c>
      <c r="Y120" s="9">
        <f t="shared" si="14"/>
        <v>119</v>
      </c>
      <c r="Z120" s="47">
        <f t="shared" si="15"/>
        <v>0.13163716814159293</v>
      </c>
    </row>
    <row r="121" spans="2:26" s="9" customFormat="1" ht="15.75" x14ac:dyDescent="0.25">
      <c r="B121" s="6" t="s">
        <v>68</v>
      </c>
      <c r="C121" s="77" t="s">
        <v>224</v>
      </c>
      <c r="D121" s="6" t="s">
        <v>37</v>
      </c>
      <c r="M121" s="34">
        <f t="shared" si="12"/>
        <v>0</v>
      </c>
      <c r="N121" s="47">
        <f t="shared" si="13"/>
        <v>0</v>
      </c>
      <c r="O121" s="77" t="s">
        <v>224</v>
      </c>
      <c r="P121" s="41" t="s">
        <v>37</v>
      </c>
      <c r="Q121" s="9">
        <v>6</v>
      </c>
      <c r="R121" s="9">
        <v>3</v>
      </c>
      <c r="Y121" s="9">
        <f t="shared" si="14"/>
        <v>9</v>
      </c>
      <c r="Z121" s="47">
        <f t="shared" si="15"/>
        <v>9.9557522123893804E-3</v>
      </c>
    </row>
    <row r="122" spans="2:26" s="9" customFormat="1" ht="15.75" x14ac:dyDescent="0.25">
      <c r="B122" s="6" t="s">
        <v>70</v>
      </c>
      <c r="C122" s="77" t="s">
        <v>225</v>
      </c>
      <c r="D122" s="6" t="s">
        <v>39</v>
      </c>
      <c r="M122" s="34">
        <f t="shared" si="12"/>
        <v>0</v>
      </c>
      <c r="N122" s="47">
        <f t="shared" si="13"/>
        <v>0</v>
      </c>
      <c r="O122" s="77" t="s">
        <v>225</v>
      </c>
      <c r="P122" s="41" t="s">
        <v>39</v>
      </c>
      <c r="Y122" s="9">
        <f t="shared" si="14"/>
        <v>0</v>
      </c>
      <c r="Z122" s="47">
        <f t="shared" si="15"/>
        <v>0</v>
      </c>
    </row>
    <row r="123" spans="2:26" s="9" customFormat="1" ht="15.75" x14ac:dyDescent="0.25">
      <c r="B123" s="6" t="s">
        <v>83</v>
      </c>
      <c r="C123" s="77" t="s">
        <v>226</v>
      </c>
      <c r="D123" s="20" t="s">
        <v>40</v>
      </c>
      <c r="F123" s="9">
        <v>4</v>
      </c>
      <c r="M123" s="34">
        <f t="shared" si="12"/>
        <v>4</v>
      </c>
      <c r="N123" s="47">
        <f t="shared" si="13"/>
        <v>2.5806451612903226E-2</v>
      </c>
      <c r="O123" s="77" t="s">
        <v>226</v>
      </c>
      <c r="P123" s="42" t="s">
        <v>40</v>
      </c>
      <c r="R123" s="9">
        <v>11</v>
      </c>
      <c r="S123" s="9">
        <v>3</v>
      </c>
      <c r="Y123" s="9">
        <f t="shared" si="14"/>
        <v>14</v>
      </c>
      <c r="Z123" s="47">
        <f t="shared" si="15"/>
        <v>1.5486725663716814E-2</v>
      </c>
    </row>
    <row r="124" spans="2:26" s="9" customFormat="1" ht="15.75" x14ac:dyDescent="0.25">
      <c r="B124" s="6" t="s">
        <v>84</v>
      </c>
      <c r="C124" s="77" t="s">
        <v>227</v>
      </c>
      <c r="D124" s="6" t="s">
        <v>46</v>
      </c>
      <c r="E124" s="9">
        <v>2</v>
      </c>
      <c r="F124" s="9">
        <v>2</v>
      </c>
      <c r="M124" s="34">
        <f t="shared" si="12"/>
        <v>4</v>
      </c>
      <c r="N124" s="47">
        <f t="shared" si="13"/>
        <v>2.5806451612903226E-2</v>
      </c>
      <c r="O124" s="77" t="s">
        <v>227</v>
      </c>
      <c r="P124" s="41" t="s">
        <v>46</v>
      </c>
      <c r="Q124" s="9">
        <v>9</v>
      </c>
      <c r="R124" s="9">
        <v>19</v>
      </c>
      <c r="Y124" s="9">
        <f t="shared" si="14"/>
        <v>28</v>
      </c>
      <c r="Z124" s="47">
        <f t="shared" si="15"/>
        <v>3.0973451327433628E-2</v>
      </c>
    </row>
    <row r="125" spans="2:26" s="9" customFormat="1" ht="15.75" x14ac:dyDescent="0.25">
      <c r="B125" s="6" t="s">
        <v>72</v>
      </c>
      <c r="C125" s="77" t="s">
        <v>228</v>
      </c>
      <c r="D125" s="20" t="s">
        <v>42</v>
      </c>
      <c r="M125" s="34">
        <f t="shared" si="12"/>
        <v>0</v>
      </c>
      <c r="N125" s="47">
        <f t="shared" si="13"/>
        <v>0</v>
      </c>
      <c r="O125" s="77" t="s">
        <v>228</v>
      </c>
      <c r="P125" s="42" t="s">
        <v>42</v>
      </c>
      <c r="Y125" s="9">
        <f t="shared" si="14"/>
        <v>0</v>
      </c>
      <c r="Z125" s="47">
        <f t="shared" si="15"/>
        <v>0</v>
      </c>
    </row>
    <row r="126" spans="2:26" s="9" customFormat="1" ht="15.75" x14ac:dyDescent="0.25">
      <c r="B126" s="6" t="s">
        <v>74</v>
      </c>
      <c r="C126" s="77" t="s">
        <v>229</v>
      </c>
      <c r="D126" s="6" t="s">
        <v>44</v>
      </c>
      <c r="F126" s="9">
        <v>5</v>
      </c>
      <c r="M126" s="34">
        <f t="shared" si="12"/>
        <v>5</v>
      </c>
      <c r="N126" s="47">
        <f t="shared" si="13"/>
        <v>3.2258064516129031E-2</v>
      </c>
      <c r="O126" s="77" t="s">
        <v>229</v>
      </c>
      <c r="P126" s="41" t="s">
        <v>44</v>
      </c>
      <c r="Q126" s="9">
        <v>7</v>
      </c>
      <c r="R126" s="9">
        <v>16</v>
      </c>
      <c r="Y126" s="9">
        <f t="shared" si="14"/>
        <v>23</v>
      </c>
      <c r="Z126" s="47">
        <f t="shared" si="15"/>
        <v>2.5442477876106196E-2</v>
      </c>
    </row>
    <row r="127" spans="2:26" s="9" customFormat="1" ht="15.75" x14ac:dyDescent="0.25">
      <c r="B127" s="6" t="s">
        <v>75</v>
      </c>
      <c r="C127" s="77" t="s">
        <v>230</v>
      </c>
      <c r="D127" s="6" t="s">
        <v>45</v>
      </c>
      <c r="F127" s="9">
        <v>2</v>
      </c>
      <c r="M127" s="34">
        <f t="shared" si="12"/>
        <v>2</v>
      </c>
      <c r="N127" s="47">
        <f t="shared" si="13"/>
        <v>1.2903225806451613E-2</v>
      </c>
      <c r="O127" s="77" t="s">
        <v>230</v>
      </c>
      <c r="P127" s="41" t="s">
        <v>45</v>
      </c>
      <c r="R127" s="9">
        <v>4</v>
      </c>
      <c r="Y127" s="9">
        <f t="shared" si="14"/>
        <v>4</v>
      </c>
      <c r="Z127" s="47">
        <f t="shared" si="15"/>
        <v>4.4247787610619468E-3</v>
      </c>
    </row>
    <row r="128" spans="2:26" s="9" customFormat="1" ht="15.75" x14ac:dyDescent="0.25">
      <c r="B128" s="6" t="s">
        <v>85</v>
      </c>
      <c r="C128" s="77" t="s">
        <v>231</v>
      </c>
      <c r="E128" s="9">
        <v>1</v>
      </c>
      <c r="M128" s="34">
        <f t="shared" si="12"/>
        <v>1</v>
      </c>
      <c r="N128" s="47">
        <f t="shared" si="13"/>
        <v>6.4516129032258064E-3</v>
      </c>
      <c r="O128" s="77" t="s">
        <v>231</v>
      </c>
      <c r="P128" s="41" t="s">
        <v>184</v>
      </c>
      <c r="Q128" s="9">
        <v>22</v>
      </c>
      <c r="R128" s="9">
        <v>11</v>
      </c>
      <c r="V128" s="9">
        <v>4</v>
      </c>
      <c r="Y128" s="9">
        <f t="shared" si="14"/>
        <v>37</v>
      </c>
      <c r="Z128" s="47">
        <f t="shared" si="15"/>
        <v>4.092920353982301E-2</v>
      </c>
    </row>
    <row r="129" spans="2:26" s="9" customFormat="1" ht="16.5" thickBot="1" x14ac:dyDescent="0.3">
      <c r="B129" s="8" t="s">
        <v>119</v>
      </c>
      <c r="C129" s="77"/>
      <c r="E129" s="35">
        <f t="shared" ref="E129:N129" si="16">SUM(E92:E128)</f>
        <v>58</v>
      </c>
      <c r="F129" s="35">
        <f t="shared" si="16"/>
        <v>84</v>
      </c>
      <c r="G129" s="35">
        <f t="shared" si="16"/>
        <v>7</v>
      </c>
      <c r="H129" s="35">
        <f t="shared" si="16"/>
        <v>0</v>
      </c>
      <c r="I129" s="35">
        <f t="shared" si="16"/>
        <v>0</v>
      </c>
      <c r="J129" s="35">
        <f t="shared" si="16"/>
        <v>1</v>
      </c>
      <c r="K129" s="35">
        <f t="shared" si="16"/>
        <v>5</v>
      </c>
      <c r="L129" s="35">
        <f t="shared" si="16"/>
        <v>0</v>
      </c>
      <c r="M129" s="35">
        <f t="shared" si="16"/>
        <v>155</v>
      </c>
      <c r="N129" s="58">
        <f t="shared" si="16"/>
        <v>0.99999999999999989</v>
      </c>
      <c r="O129" s="61"/>
      <c r="P129" s="34"/>
      <c r="Q129" s="35">
        <f t="shared" ref="Q129:Z129" si="17">SUM(Q92:Q128)</f>
        <v>330</v>
      </c>
      <c r="R129" s="35">
        <f t="shared" si="17"/>
        <v>384</v>
      </c>
      <c r="S129" s="35">
        <f t="shared" si="17"/>
        <v>37</v>
      </c>
      <c r="T129" s="35">
        <f t="shared" si="17"/>
        <v>9</v>
      </c>
      <c r="U129" s="35">
        <f t="shared" si="17"/>
        <v>0</v>
      </c>
      <c r="V129" s="35">
        <f t="shared" si="17"/>
        <v>64</v>
      </c>
      <c r="W129" s="35">
        <f t="shared" si="17"/>
        <v>80</v>
      </c>
      <c r="X129" s="21">
        <f t="shared" si="17"/>
        <v>0</v>
      </c>
      <c r="Y129" s="21">
        <f t="shared" si="17"/>
        <v>904</v>
      </c>
      <c r="Z129" s="58">
        <f t="shared" si="17"/>
        <v>1</v>
      </c>
    </row>
    <row r="130" spans="2:26" s="9" customFormat="1" ht="16.5" thickTop="1" x14ac:dyDescent="0.25">
      <c r="B130" s="6"/>
      <c r="C130" s="77"/>
      <c r="E130" s="34"/>
      <c r="F130" s="36"/>
      <c r="G130" s="36" t="s">
        <v>118</v>
      </c>
      <c r="H130" s="34">
        <f>+H129+F129</f>
        <v>84</v>
      </c>
      <c r="I130" s="34"/>
      <c r="J130" s="34"/>
      <c r="K130" s="34"/>
      <c r="L130" s="63" t="s">
        <v>180</v>
      </c>
      <c r="M130" s="34">
        <f>36-13</f>
        <v>23</v>
      </c>
      <c r="N130" s="10">
        <f>COUNT(E92:L127)</f>
        <v>31</v>
      </c>
      <c r="O130" s="34"/>
      <c r="P130" s="34"/>
      <c r="Q130" s="34"/>
      <c r="R130" s="36"/>
      <c r="S130" s="36" t="s">
        <v>118</v>
      </c>
      <c r="T130" s="34">
        <f>+T129+R129</f>
        <v>393</v>
      </c>
      <c r="U130" s="34"/>
      <c r="V130" s="34"/>
      <c r="W130" s="34"/>
      <c r="X130" s="63" t="s">
        <v>180</v>
      </c>
      <c r="Y130" s="34">
        <v>32</v>
      </c>
      <c r="Z130" s="10">
        <f>COUNT(Q92:X127)</f>
        <v>50</v>
      </c>
    </row>
    <row r="131" spans="2:26" s="9" customFormat="1" ht="15.75" x14ac:dyDescent="0.25">
      <c r="B131" s="6"/>
      <c r="C131" s="5"/>
      <c r="D131" s="55" t="s">
        <v>177</v>
      </c>
      <c r="E131" s="56">
        <f t="shared" ref="E131:M131" si="18">+E129/$M129</f>
        <v>0.37419354838709679</v>
      </c>
      <c r="F131" s="56">
        <f t="shared" si="18"/>
        <v>0.54193548387096779</v>
      </c>
      <c r="G131" s="56">
        <f t="shared" si="18"/>
        <v>4.5161290322580643E-2</v>
      </c>
      <c r="H131" s="56">
        <f t="shared" si="18"/>
        <v>0</v>
      </c>
      <c r="I131" s="56">
        <f t="shared" si="18"/>
        <v>0</v>
      </c>
      <c r="J131" s="56">
        <f t="shared" si="18"/>
        <v>6.4516129032258064E-3</v>
      </c>
      <c r="K131" s="56">
        <f t="shared" si="18"/>
        <v>3.2258064516129031E-2</v>
      </c>
      <c r="L131" s="56">
        <f t="shared" si="18"/>
        <v>0</v>
      </c>
      <c r="M131" s="56">
        <f t="shared" si="18"/>
        <v>1</v>
      </c>
      <c r="N131" s="56"/>
      <c r="O131" s="56"/>
      <c r="P131" s="55" t="s">
        <v>177</v>
      </c>
      <c r="Q131" s="56">
        <f t="shared" ref="Q131:Y131" si="19">+Q129/$Y129</f>
        <v>0.36504424778761063</v>
      </c>
      <c r="R131" s="56">
        <f t="shared" si="19"/>
        <v>0.4247787610619469</v>
      </c>
      <c r="S131" s="56">
        <f t="shared" si="19"/>
        <v>4.092920353982301E-2</v>
      </c>
      <c r="T131" s="56">
        <f t="shared" si="19"/>
        <v>9.9557522123893804E-3</v>
      </c>
      <c r="U131" s="56">
        <f t="shared" si="19"/>
        <v>0</v>
      </c>
      <c r="V131" s="56">
        <f t="shared" si="19"/>
        <v>7.0796460176991149E-2</v>
      </c>
      <c r="W131" s="56">
        <f t="shared" si="19"/>
        <v>8.8495575221238937E-2</v>
      </c>
      <c r="X131" s="56">
        <f t="shared" si="19"/>
        <v>0</v>
      </c>
      <c r="Y131" s="56">
        <f t="shared" si="19"/>
        <v>1</v>
      </c>
    </row>
    <row r="132" spans="2:26" s="9" customFormat="1" ht="15.75" x14ac:dyDescent="0.25">
      <c r="B132" s="6"/>
      <c r="C132" s="19"/>
      <c r="E132" s="75"/>
      <c r="F132" s="75"/>
      <c r="G132" s="56"/>
      <c r="H132" s="56"/>
      <c r="I132" s="56"/>
      <c r="J132" s="56"/>
      <c r="K132" s="56"/>
      <c r="L132" s="56"/>
      <c r="M132" s="56"/>
      <c r="N132" s="56"/>
      <c r="O132" s="56"/>
      <c r="P132" s="34"/>
      <c r="Q132" s="34"/>
      <c r="R132" s="34"/>
      <c r="S132" s="34"/>
      <c r="T132" s="34"/>
      <c r="U132" s="34"/>
      <c r="V132" s="34"/>
      <c r="W132" s="34"/>
    </row>
    <row r="133" spans="2:26" s="9" customFormat="1" ht="15.75" x14ac:dyDescent="0.25">
      <c r="B133" s="5" t="s">
        <v>156</v>
      </c>
      <c r="C133" s="6"/>
      <c r="D133" s="6"/>
      <c r="E133" s="34"/>
      <c r="F133" s="36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</row>
    <row r="134" spans="2:26" s="9" customFormat="1" ht="15.75" x14ac:dyDescent="0.25">
      <c r="B134" s="19" t="s">
        <v>47</v>
      </c>
      <c r="C134" s="6"/>
      <c r="D134" s="19" t="s">
        <v>187</v>
      </c>
      <c r="E134" s="34"/>
      <c r="F134" s="36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</row>
    <row r="135" spans="2:26" s="9" customFormat="1" ht="15.75" x14ac:dyDescent="0.25">
      <c r="B135" s="18" t="s">
        <v>76</v>
      </c>
      <c r="C135" s="6"/>
      <c r="D135" s="82" t="s">
        <v>188</v>
      </c>
      <c r="E135" s="37" t="s">
        <v>24</v>
      </c>
      <c r="F135" s="37" t="s">
        <v>137</v>
      </c>
      <c r="G135" s="37" t="s">
        <v>138</v>
      </c>
      <c r="H135" s="37" t="s">
        <v>137</v>
      </c>
      <c r="I135" s="37" t="s">
        <v>139</v>
      </c>
      <c r="J135" s="37" t="s">
        <v>143</v>
      </c>
      <c r="K135" s="37" t="s">
        <v>144</v>
      </c>
      <c r="L135" s="37" t="s">
        <v>145</v>
      </c>
      <c r="M135" s="37" t="s">
        <v>116</v>
      </c>
      <c r="N135" s="7" t="s">
        <v>177</v>
      </c>
      <c r="O135" s="34"/>
      <c r="P135" s="34"/>
      <c r="Q135" s="34"/>
      <c r="R135" s="34"/>
      <c r="S135" s="34"/>
      <c r="T135" s="34"/>
      <c r="U135" s="34"/>
      <c r="V135" s="34"/>
      <c r="W135" s="34"/>
    </row>
    <row r="136" spans="2:26" s="9" customFormat="1" ht="15.75" x14ac:dyDescent="0.25">
      <c r="B136" s="6" t="s">
        <v>62</v>
      </c>
      <c r="C136" s="77" t="s">
        <v>197</v>
      </c>
      <c r="D136" s="82" t="s">
        <v>27</v>
      </c>
      <c r="E136" s="81"/>
      <c r="M136" s="34">
        <f t="shared" ref="M136:M172" si="20">SUM(E136:L136)</f>
        <v>0</v>
      </c>
      <c r="N136" s="47">
        <f t="shared" ref="N136:N172" si="21">+M136/M$173</f>
        <v>0</v>
      </c>
      <c r="O136" s="34"/>
      <c r="P136" s="34"/>
      <c r="Q136" s="34"/>
      <c r="R136" s="34"/>
      <c r="S136" s="34"/>
      <c r="T136" s="34"/>
      <c r="U136" s="34"/>
      <c r="V136" s="34"/>
      <c r="W136" s="34"/>
    </row>
    <row r="137" spans="2:26" s="9" customFormat="1" ht="15.75" x14ac:dyDescent="0.25">
      <c r="B137" s="6" t="s">
        <v>63</v>
      </c>
      <c r="C137" s="77" t="s">
        <v>198</v>
      </c>
      <c r="D137" s="82" t="s">
        <v>28</v>
      </c>
      <c r="E137" s="81"/>
      <c r="J137" s="81">
        <v>3</v>
      </c>
      <c r="K137" s="9">
        <v>15</v>
      </c>
      <c r="M137" s="34">
        <f t="shared" si="20"/>
        <v>18</v>
      </c>
      <c r="N137" s="47">
        <f t="shared" si="21"/>
        <v>1.1780104712041885E-2</v>
      </c>
      <c r="O137" s="34"/>
      <c r="P137" s="34"/>
      <c r="Q137" s="34"/>
      <c r="R137" s="34"/>
      <c r="S137" s="34"/>
      <c r="T137" s="34"/>
      <c r="U137" s="34"/>
      <c r="V137" s="34"/>
      <c r="W137" s="34"/>
    </row>
    <row r="138" spans="2:26" s="9" customFormat="1" ht="15.75" x14ac:dyDescent="0.25">
      <c r="B138" s="6" t="s">
        <v>53</v>
      </c>
      <c r="C138" s="77" t="s">
        <v>213</v>
      </c>
      <c r="D138" s="82" t="s">
        <v>18</v>
      </c>
      <c r="E138" s="80"/>
      <c r="M138" s="34">
        <f t="shared" si="20"/>
        <v>0</v>
      </c>
      <c r="N138" s="47">
        <f t="shared" si="21"/>
        <v>0</v>
      </c>
      <c r="O138" s="34"/>
      <c r="P138" s="34"/>
      <c r="Q138" s="34"/>
      <c r="R138" s="34"/>
      <c r="S138" s="34"/>
      <c r="T138" s="34"/>
      <c r="U138" s="34"/>
      <c r="V138" s="34"/>
      <c r="W138" s="34"/>
    </row>
    <row r="139" spans="2:26" s="9" customFormat="1" ht="15.75" x14ac:dyDescent="0.25">
      <c r="B139" s="6" t="s">
        <v>55</v>
      </c>
      <c r="C139" s="77" t="s">
        <v>199</v>
      </c>
      <c r="D139" s="82" t="s">
        <v>20</v>
      </c>
      <c r="E139" s="81"/>
      <c r="J139" s="81"/>
      <c r="M139" s="34">
        <f t="shared" si="20"/>
        <v>0</v>
      </c>
      <c r="N139" s="47">
        <f t="shared" si="21"/>
        <v>0</v>
      </c>
      <c r="O139" s="34"/>
      <c r="P139" s="34"/>
      <c r="Q139" s="34"/>
      <c r="R139" s="34"/>
      <c r="S139" s="34"/>
      <c r="T139" s="34"/>
      <c r="U139" s="34"/>
      <c r="V139" s="34"/>
      <c r="W139" s="34"/>
    </row>
    <row r="140" spans="2:26" s="9" customFormat="1" ht="15.75" x14ac:dyDescent="0.25">
      <c r="B140" s="6" t="s">
        <v>56</v>
      </c>
      <c r="C140" s="77" t="s">
        <v>200</v>
      </c>
      <c r="D140" s="82" t="s">
        <v>21</v>
      </c>
      <c r="E140" s="81">
        <v>1</v>
      </c>
      <c r="M140" s="34">
        <f t="shared" si="20"/>
        <v>1</v>
      </c>
      <c r="N140" s="47">
        <f t="shared" si="21"/>
        <v>6.5445026178010475E-4</v>
      </c>
      <c r="O140" s="34"/>
      <c r="P140" s="34"/>
      <c r="Q140" s="34"/>
      <c r="R140" s="34"/>
      <c r="S140" s="34"/>
      <c r="T140" s="34"/>
      <c r="U140" s="34"/>
      <c r="V140" s="34"/>
      <c r="W140" s="34"/>
    </row>
    <row r="141" spans="2:26" s="9" customFormat="1" ht="15.75" x14ac:dyDescent="0.25">
      <c r="B141" s="6" t="s">
        <v>57</v>
      </c>
      <c r="C141" s="77" t="s">
        <v>201</v>
      </c>
      <c r="D141" s="82" t="s">
        <v>22</v>
      </c>
      <c r="E141" s="81">
        <v>4</v>
      </c>
      <c r="M141" s="34">
        <f t="shared" si="20"/>
        <v>4</v>
      </c>
      <c r="N141" s="47">
        <f t="shared" si="21"/>
        <v>2.617801047120419E-3</v>
      </c>
      <c r="O141" s="34"/>
      <c r="P141" s="34"/>
      <c r="Q141" s="34"/>
      <c r="R141" s="34"/>
      <c r="S141" s="34"/>
      <c r="T141" s="34"/>
      <c r="U141" s="34"/>
      <c r="V141" s="34"/>
      <c r="W141" s="34"/>
    </row>
    <row r="142" spans="2:26" s="9" customFormat="1" ht="15.75" x14ac:dyDescent="0.25">
      <c r="B142" s="6" t="s">
        <v>79</v>
      </c>
      <c r="C142" s="77" t="s">
        <v>202</v>
      </c>
      <c r="D142" s="82" t="s">
        <v>31</v>
      </c>
      <c r="E142" s="81">
        <v>4</v>
      </c>
      <c r="G142" s="9">
        <v>1</v>
      </c>
      <c r="M142" s="34">
        <f t="shared" si="20"/>
        <v>5</v>
      </c>
      <c r="N142" s="47">
        <f t="shared" si="21"/>
        <v>3.2722513089005235E-3</v>
      </c>
      <c r="O142" s="34"/>
      <c r="P142" s="34"/>
      <c r="Q142" s="34"/>
      <c r="R142" s="34"/>
      <c r="S142" s="34"/>
      <c r="T142" s="34"/>
      <c r="U142" s="34"/>
      <c r="V142" s="34"/>
      <c r="W142" s="34"/>
    </row>
    <row r="143" spans="2:26" s="9" customFormat="1" ht="15.75" x14ac:dyDescent="0.25">
      <c r="B143" s="6" t="s">
        <v>67</v>
      </c>
      <c r="C143" s="77" t="s">
        <v>203</v>
      </c>
      <c r="D143" s="82" t="s">
        <v>33</v>
      </c>
      <c r="E143" s="81">
        <v>5</v>
      </c>
      <c r="M143" s="34">
        <f t="shared" si="20"/>
        <v>5</v>
      </c>
      <c r="N143" s="47">
        <f t="shared" si="21"/>
        <v>3.2722513089005235E-3</v>
      </c>
      <c r="O143" s="34"/>
      <c r="P143" s="34"/>
      <c r="Q143" s="34"/>
      <c r="R143" s="34"/>
      <c r="S143" s="34"/>
      <c r="T143" s="34"/>
      <c r="U143" s="34"/>
      <c r="V143" s="34"/>
      <c r="W143" s="34"/>
    </row>
    <row r="144" spans="2:26" s="9" customFormat="1" ht="15.75" x14ac:dyDescent="0.25">
      <c r="B144" s="6" t="s">
        <v>69</v>
      </c>
      <c r="C144" s="77" t="s">
        <v>204</v>
      </c>
      <c r="D144" s="82" t="s">
        <v>38</v>
      </c>
      <c r="E144" s="81"/>
      <c r="M144" s="34">
        <f t="shared" si="20"/>
        <v>0</v>
      </c>
      <c r="N144" s="47">
        <f t="shared" si="21"/>
        <v>0</v>
      </c>
      <c r="O144" s="34"/>
      <c r="P144" s="34"/>
      <c r="Q144" s="34"/>
      <c r="R144" s="34"/>
      <c r="S144" s="34"/>
      <c r="T144" s="34"/>
      <c r="U144" s="34"/>
      <c r="V144" s="34"/>
      <c r="W144" s="34"/>
    </row>
    <row r="145" spans="2:23" s="9" customFormat="1" ht="15.75" x14ac:dyDescent="0.25">
      <c r="B145" s="6" t="s">
        <v>71</v>
      </c>
      <c r="C145" s="77" t="s">
        <v>205</v>
      </c>
      <c r="D145" s="82" t="s">
        <v>41</v>
      </c>
      <c r="E145" s="81">
        <v>1</v>
      </c>
      <c r="M145" s="34">
        <f t="shared" si="20"/>
        <v>1</v>
      </c>
      <c r="N145" s="47">
        <f t="shared" si="21"/>
        <v>6.5445026178010475E-4</v>
      </c>
      <c r="O145" s="34"/>
      <c r="P145" s="34"/>
      <c r="Q145" s="34"/>
      <c r="R145" s="34"/>
      <c r="S145" s="34"/>
      <c r="T145" s="34"/>
      <c r="U145" s="34"/>
      <c r="V145" s="34"/>
      <c r="W145" s="34"/>
    </row>
    <row r="146" spans="2:23" s="9" customFormat="1" ht="15.75" x14ac:dyDescent="0.25">
      <c r="B146" s="6" t="s">
        <v>73</v>
      </c>
      <c r="C146" s="77" t="s">
        <v>206</v>
      </c>
      <c r="D146" s="82" t="s">
        <v>43</v>
      </c>
      <c r="E146" s="81"/>
      <c r="M146" s="34">
        <f t="shared" si="20"/>
        <v>0</v>
      </c>
      <c r="N146" s="47">
        <f t="shared" si="21"/>
        <v>0</v>
      </c>
      <c r="O146" s="34"/>
      <c r="P146" s="34"/>
      <c r="Q146" s="34"/>
      <c r="R146" s="34"/>
      <c r="S146" s="34"/>
      <c r="T146" s="34"/>
      <c r="U146" s="34"/>
      <c r="V146" s="34"/>
      <c r="W146" s="34"/>
    </row>
    <row r="147" spans="2:23" s="9" customFormat="1" ht="15.75" x14ac:dyDescent="0.25">
      <c r="B147" s="6" t="s">
        <v>61</v>
      </c>
      <c r="C147" s="77" t="s">
        <v>196</v>
      </c>
      <c r="D147" s="6" t="s">
        <v>26</v>
      </c>
      <c r="I147" s="9">
        <v>6</v>
      </c>
      <c r="K147" s="9">
        <v>14</v>
      </c>
      <c r="M147" s="34">
        <f t="shared" si="20"/>
        <v>20</v>
      </c>
      <c r="N147" s="47">
        <f t="shared" si="21"/>
        <v>1.3089005235602094E-2</v>
      </c>
      <c r="O147" s="34"/>
      <c r="P147" s="34"/>
      <c r="Q147" s="34"/>
      <c r="R147" s="34"/>
      <c r="S147" s="34"/>
      <c r="T147" s="34"/>
      <c r="U147" s="34"/>
      <c r="V147" s="34"/>
      <c r="W147" s="34"/>
    </row>
    <row r="148" spans="2:23" s="9" customFormat="1" ht="15.75" x14ac:dyDescent="0.25">
      <c r="B148" s="6" t="s">
        <v>48</v>
      </c>
      <c r="C148" s="77" t="s">
        <v>207</v>
      </c>
      <c r="D148" s="6" t="s">
        <v>12</v>
      </c>
      <c r="E148" s="9">
        <v>23</v>
      </c>
      <c r="M148" s="34">
        <f t="shared" si="20"/>
        <v>23</v>
      </c>
      <c r="N148" s="47">
        <f t="shared" si="21"/>
        <v>1.5052356020942409E-2</v>
      </c>
      <c r="O148" s="34"/>
      <c r="P148" s="34"/>
      <c r="Q148" s="34"/>
      <c r="R148" s="34"/>
      <c r="S148" s="34"/>
      <c r="T148" s="34"/>
      <c r="U148" s="34"/>
      <c r="V148" s="34"/>
      <c r="W148" s="34"/>
    </row>
    <row r="149" spans="2:23" s="9" customFormat="1" ht="15.75" x14ac:dyDescent="0.25">
      <c r="B149" s="6" t="s">
        <v>77</v>
      </c>
      <c r="C149" s="77" t="s">
        <v>208</v>
      </c>
      <c r="D149" s="20" t="s">
        <v>13</v>
      </c>
      <c r="F149" s="9">
        <v>47</v>
      </c>
      <c r="G149" s="9">
        <v>2</v>
      </c>
      <c r="M149" s="34">
        <f t="shared" si="20"/>
        <v>49</v>
      </c>
      <c r="N149" s="47">
        <f t="shared" si="21"/>
        <v>3.206806282722513E-2</v>
      </c>
      <c r="O149" s="34"/>
      <c r="P149" s="34"/>
      <c r="Q149" s="34"/>
      <c r="R149" s="34"/>
      <c r="S149" s="34"/>
      <c r="T149" s="34"/>
      <c r="U149" s="34"/>
      <c r="V149" s="34"/>
      <c r="W149" s="34"/>
    </row>
    <row r="150" spans="2:23" s="9" customFormat="1" ht="15.75" x14ac:dyDescent="0.25">
      <c r="B150" s="6" t="s">
        <v>49</v>
      </c>
      <c r="C150" s="77" t="s">
        <v>209</v>
      </c>
      <c r="D150" s="6" t="s">
        <v>14</v>
      </c>
      <c r="M150" s="34">
        <f t="shared" si="20"/>
        <v>0</v>
      </c>
      <c r="N150" s="47">
        <f t="shared" si="21"/>
        <v>0</v>
      </c>
      <c r="O150" s="34"/>
      <c r="P150" s="34"/>
      <c r="Q150" s="34"/>
      <c r="R150" s="34"/>
      <c r="S150" s="34"/>
      <c r="T150" s="34"/>
      <c r="U150" s="34"/>
      <c r="V150" s="34"/>
      <c r="W150" s="34"/>
    </row>
    <row r="151" spans="2:23" s="9" customFormat="1" ht="15.75" x14ac:dyDescent="0.25">
      <c r="B151" s="6" t="s">
        <v>50</v>
      </c>
      <c r="C151" s="77" t="s">
        <v>210</v>
      </c>
      <c r="D151" s="6" t="s">
        <v>15</v>
      </c>
      <c r="E151" s="9">
        <v>31</v>
      </c>
      <c r="F151" s="9">
        <v>25</v>
      </c>
      <c r="G151" s="9">
        <v>6</v>
      </c>
      <c r="M151" s="34">
        <f t="shared" si="20"/>
        <v>62</v>
      </c>
      <c r="N151" s="47">
        <f t="shared" si="21"/>
        <v>4.0575916230366493E-2</v>
      </c>
      <c r="O151" s="34"/>
      <c r="P151" s="34"/>
      <c r="Q151" s="34"/>
      <c r="R151" s="34"/>
      <c r="S151" s="34"/>
      <c r="T151" s="34"/>
      <c r="U151" s="34"/>
      <c r="V151" s="34"/>
      <c r="W151" s="34"/>
    </row>
    <row r="152" spans="2:23" s="9" customFormat="1" ht="15.75" x14ac:dyDescent="0.25">
      <c r="B152" s="6" t="s">
        <v>51</v>
      </c>
      <c r="C152" s="77" t="s">
        <v>211</v>
      </c>
      <c r="D152" s="6" t="s">
        <v>16</v>
      </c>
      <c r="F152" s="9">
        <v>3</v>
      </c>
      <c r="G152" s="9">
        <v>3</v>
      </c>
      <c r="K152" s="9">
        <v>21</v>
      </c>
      <c r="M152" s="34">
        <f t="shared" si="20"/>
        <v>27</v>
      </c>
      <c r="N152" s="47">
        <f t="shared" si="21"/>
        <v>1.7670157068062829E-2</v>
      </c>
      <c r="O152" s="34"/>
      <c r="P152" s="34"/>
      <c r="Q152" s="34"/>
      <c r="R152" s="34"/>
      <c r="S152" s="34"/>
      <c r="T152" s="34"/>
      <c r="U152" s="34"/>
      <c r="V152" s="34"/>
      <c r="W152" s="34"/>
    </row>
    <row r="153" spans="2:23" s="9" customFormat="1" ht="15.75" x14ac:dyDescent="0.25">
      <c r="B153" s="6" t="s">
        <v>52</v>
      </c>
      <c r="C153" s="77" t="s">
        <v>212</v>
      </c>
      <c r="D153" s="6" t="s">
        <v>17</v>
      </c>
      <c r="G153" s="9">
        <v>2</v>
      </c>
      <c r="M153" s="34">
        <f t="shared" si="20"/>
        <v>2</v>
      </c>
      <c r="N153" s="47">
        <f t="shared" si="21"/>
        <v>1.3089005235602095E-3</v>
      </c>
      <c r="O153" s="34"/>
      <c r="P153" s="34"/>
      <c r="Q153" s="34"/>
      <c r="R153" s="34"/>
      <c r="S153" s="34"/>
      <c r="T153" s="34"/>
      <c r="U153" s="34"/>
      <c r="V153" s="34"/>
      <c r="W153" s="34"/>
    </row>
    <row r="154" spans="2:23" s="9" customFormat="1" ht="15.75" x14ac:dyDescent="0.25">
      <c r="B154" s="6" t="s">
        <v>54</v>
      </c>
      <c r="C154" s="77" t="s">
        <v>214</v>
      </c>
      <c r="D154" s="6" t="s">
        <v>19</v>
      </c>
      <c r="F154" s="9">
        <v>10</v>
      </c>
      <c r="M154" s="34">
        <f t="shared" si="20"/>
        <v>10</v>
      </c>
      <c r="N154" s="47">
        <f t="shared" si="21"/>
        <v>6.5445026178010471E-3</v>
      </c>
      <c r="O154" s="34"/>
      <c r="P154" s="34"/>
      <c r="Q154" s="34"/>
      <c r="R154" s="34"/>
      <c r="S154" s="34"/>
      <c r="T154" s="34"/>
      <c r="U154" s="34"/>
      <c r="V154" s="34"/>
      <c r="W154" s="34"/>
    </row>
    <row r="155" spans="2:23" s="9" customFormat="1" ht="15.75" x14ac:dyDescent="0.25">
      <c r="B155" s="6" t="s">
        <v>58</v>
      </c>
      <c r="C155" s="77" t="s">
        <v>232</v>
      </c>
      <c r="D155" s="6" t="s">
        <v>23</v>
      </c>
      <c r="J155" s="9">
        <v>2</v>
      </c>
      <c r="M155" s="34">
        <f t="shared" si="20"/>
        <v>2</v>
      </c>
      <c r="N155" s="47">
        <f t="shared" si="21"/>
        <v>1.3089005235602095E-3</v>
      </c>
      <c r="O155" s="34"/>
      <c r="P155" s="34"/>
      <c r="Q155" s="34"/>
      <c r="R155" s="34"/>
      <c r="S155" s="34"/>
      <c r="T155" s="34"/>
      <c r="U155" s="34"/>
      <c r="V155" s="34"/>
      <c r="W155" s="34"/>
    </row>
    <row r="156" spans="2:23" s="9" customFormat="1" ht="15.75" x14ac:dyDescent="0.25">
      <c r="B156" s="6" t="s">
        <v>59</v>
      </c>
      <c r="C156" s="77" t="s">
        <v>215</v>
      </c>
      <c r="D156" s="6" t="s">
        <v>24</v>
      </c>
      <c r="F156" s="9">
        <v>208</v>
      </c>
      <c r="G156" s="9">
        <v>1</v>
      </c>
      <c r="M156" s="34">
        <f t="shared" si="20"/>
        <v>209</v>
      </c>
      <c r="N156" s="47">
        <f t="shared" si="21"/>
        <v>0.13678010471204188</v>
      </c>
      <c r="O156" s="34"/>
      <c r="P156" s="34"/>
      <c r="Q156" s="34"/>
      <c r="R156" s="34"/>
      <c r="S156" s="34"/>
      <c r="T156" s="34"/>
      <c r="U156" s="34"/>
      <c r="V156" s="34"/>
      <c r="W156" s="34"/>
    </row>
    <row r="157" spans="2:23" s="9" customFormat="1" ht="15.75" x14ac:dyDescent="0.25">
      <c r="B157" s="6" t="s">
        <v>60</v>
      </c>
      <c r="C157" s="77" t="s">
        <v>216</v>
      </c>
      <c r="D157" s="6" t="s">
        <v>25</v>
      </c>
      <c r="F157" s="9">
        <v>4</v>
      </c>
      <c r="I157" s="9">
        <v>31</v>
      </c>
      <c r="M157" s="34">
        <f t="shared" si="20"/>
        <v>35</v>
      </c>
      <c r="N157" s="47">
        <f t="shared" si="21"/>
        <v>2.2905759162303665E-2</v>
      </c>
      <c r="O157" s="34"/>
      <c r="P157" s="34"/>
      <c r="Q157" s="34"/>
      <c r="R157" s="34"/>
      <c r="S157" s="34"/>
      <c r="T157" s="34"/>
      <c r="U157" s="34"/>
      <c r="V157" s="34"/>
      <c r="W157" s="34"/>
    </row>
    <row r="158" spans="2:23" s="9" customFormat="1" ht="15.75" x14ac:dyDescent="0.25">
      <c r="B158" s="6" t="s">
        <v>78</v>
      </c>
      <c r="C158" s="77" t="s">
        <v>217</v>
      </c>
      <c r="D158" s="6" t="s">
        <v>195</v>
      </c>
      <c r="H158" s="84">
        <v>245</v>
      </c>
      <c r="M158" s="34">
        <f t="shared" si="20"/>
        <v>245</v>
      </c>
      <c r="N158" s="47">
        <f t="shared" si="21"/>
        <v>0.16034031413612565</v>
      </c>
      <c r="O158" s="34"/>
      <c r="P158" s="34"/>
      <c r="Q158" s="34"/>
      <c r="R158" s="34"/>
      <c r="S158" s="34"/>
      <c r="T158" s="34"/>
      <c r="U158" s="34"/>
      <c r="V158" s="34"/>
      <c r="W158" s="34"/>
    </row>
    <row r="159" spans="2:23" s="9" customFormat="1" ht="15.75" x14ac:dyDescent="0.25">
      <c r="B159" s="6" t="s">
        <v>64</v>
      </c>
      <c r="C159" s="77" t="s">
        <v>218</v>
      </c>
      <c r="D159" s="6" t="s">
        <v>29</v>
      </c>
      <c r="E159" s="9">
        <v>66</v>
      </c>
      <c r="F159" s="9">
        <v>132</v>
      </c>
      <c r="G159" s="9">
        <v>6</v>
      </c>
      <c r="M159" s="34">
        <f t="shared" si="20"/>
        <v>204</v>
      </c>
      <c r="N159" s="47">
        <f t="shared" si="21"/>
        <v>0.13350785340314136</v>
      </c>
      <c r="O159" s="34"/>
      <c r="P159" s="34"/>
      <c r="Q159" s="34"/>
      <c r="R159" s="34"/>
      <c r="S159" s="34"/>
      <c r="T159" s="34"/>
      <c r="U159" s="34"/>
      <c r="V159" s="34"/>
      <c r="W159" s="34"/>
    </row>
    <row r="160" spans="2:23" s="9" customFormat="1" ht="15.75" x14ac:dyDescent="0.25">
      <c r="B160" s="6" t="s">
        <v>65</v>
      </c>
      <c r="C160" s="77" t="s">
        <v>219</v>
      </c>
      <c r="D160" s="6" t="s">
        <v>30</v>
      </c>
      <c r="E160" s="9">
        <v>10</v>
      </c>
      <c r="M160" s="34">
        <f t="shared" si="20"/>
        <v>10</v>
      </c>
      <c r="N160" s="47">
        <f t="shared" si="21"/>
        <v>6.5445026178010471E-3</v>
      </c>
      <c r="O160" s="34"/>
      <c r="P160" s="34"/>
      <c r="Q160" s="34"/>
      <c r="R160" s="34"/>
      <c r="S160" s="34"/>
      <c r="T160" s="34"/>
      <c r="U160" s="34"/>
      <c r="V160" s="34"/>
      <c r="W160" s="34"/>
    </row>
    <row r="161" spans="2:23" s="9" customFormat="1" ht="15.75" x14ac:dyDescent="0.25">
      <c r="B161" s="6" t="s">
        <v>66</v>
      </c>
      <c r="C161" s="77" t="s">
        <v>220</v>
      </c>
      <c r="D161" s="6" t="s">
        <v>32</v>
      </c>
      <c r="G161" s="9">
        <v>2</v>
      </c>
      <c r="M161" s="34">
        <f t="shared" si="20"/>
        <v>2</v>
      </c>
      <c r="N161" s="47">
        <f t="shared" si="21"/>
        <v>1.3089005235602095E-3</v>
      </c>
      <c r="O161" s="34"/>
      <c r="P161" s="34"/>
      <c r="Q161" s="34"/>
      <c r="R161" s="34"/>
      <c r="S161" s="34"/>
      <c r="T161" s="34"/>
      <c r="U161" s="34"/>
      <c r="V161" s="34"/>
      <c r="W161" s="34"/>
    </row>
    <row r="162" spans="2:23" s="9" customFormat="1" ht="15.75" x14ac:dyDescent="0.25">
      <c r="B162" s="20" t="s">
        <v>80</v>
      </c>
      <c r="C162" s="77" t="s">
        <v>221</v>
      </c>
      <c r="D162" s="20" t="s">
        <v>34</v>
      </c>
      <c r="F162" s="9">
        <v>1</v>
      </c>
      <c r="G162" s="9">
        <v>1</v>
      </c>
      <c r="K162" s="9">
        <v>38</v>
      </c>
      <c r="M162" s="34">
        <f t="shared" si="20"/>
        <v>40</v>
      </c>
      <c r="N162" s="47">
        <f t="shared" si="21"/>
        <v>2.6178010471204188E-2</v>
      </c>
      <c r="O162" s="34"/>
      <c r="P162" s="34"/>
      <c r="Q162" s="34"/>
      <c r="R162" s="34"/>
      <c r="S162" s="34"/>
      <c r="T162" s="34"/>
      <c r="U162" s="34"/>
      <c r="V162" s="34"/>
      <c r="W162" s="34"/>
    </row>
    <row r="163" spans="2:23" s="9" customFormat="1" ht="15.75" x14ac:dyDescent="0.25">
      <c r="B163" s="20" t="s">
        <v>81</v>
      </c>
      <c r="C163" s="77" t="s">
        <v>222</v>
      </c>
      <c r="D163" s="20" t="s">
        <v>35</v>
      </c>
      <c r="F163" s="9">
        <v>111</v>
      </c>
      <c r="M163" s="34">
        <f t="shared" si="20"/>
        <v>111</v>
      </c>
      <c r="N163" s="47">
        <f t="shared" si="21"/>
        <v>7.2643979057591623E-2</v>
      </c>
      <c r="O163" s="34"/>
      <c r="P163" s="34"/>
      <c r="Q163" s="34"/>
      <c r="R163" s="34"/>
      <c r="S163" s="34"/>
      <c r="T163" s="34"/>
      <c r="U163" s="34"/>
      <c r="V163" s="34"/>
      <c r="W163" s="34"/>
    </row>
    <row r="164" spans="2:23" s="9" customFormat="1" ht="15.75" x14ac:dyDescent="0.25">
      <c r="B164" s="20" t="s">
        <v>82</v>
      </c>
      <c r="C164" s="77" t="s">
        <v>223</v>
      </c>
      <c r="D164" s="20" t="s">
        <v>36</v>
      </c>
      <c r="E164" s="9">
        <v>43</v>
      </c>
      <c r="F164" s="9">
        <v>205</v>
      </c>
      <c r="G164" s="9">
        <v>5</v>
      </c>
      <c r="I164" s="9">
        <v>11</v>
      </c>
      <c r="M164" s="34">
        <f t="shared" si="20"/>
        <v>264</v>
      </c>
      <c r="N164" s="47">
        <f t="shared" si="21"/>
        <v>0.17277486910994763</v>
      </c>
      <c r="O164" s="34"/>
      <c r="P164" s="34"/>
      <c r="Q164" s="34"/>
      <c r="R164" s="34"/>
      <c r="S164" s="34"/>
      <c r="T164" s="34"/>
      <c r="U164" s="34"/>
      <c r="V164" s="34"/>
      <c r="W164" s="34"/>
    </row>
    <row r="165" spans="2:23" s="9" customFormat="1" ht="15.75" x14ac:dyDescent="0.25">
      <c r="B165" s="6" t="s">
        <v>68</v>
      </c>
      <c r="C165" s="77" t="s">
        <v>224</v>
      </c>
      <c r="D165" s="6" t="s">
        <v>37</v>
      </c>
      <c r="E165" s="9">
        <v>5</v>
      </c>
      <c r="F165" s="9">
        <v>4</v>
      </c>
      <c r="M165" s="34">
        <f t="shared" si="20"/>
        <v>9</v>
      </c>
      <c r="N165" s="47">
        <f t="shared" si="21"/>
        <v>5.8900523560209425E-3</v>
      </c>
      <c r="O165" s="34"/>
      <c r="P165" s="34"/>
      <c r="Q165" s="34"/>
      <c r="R165" s="34"/>
      <c r="S165" s="34"/>
      <c r="T165" s="34"/>
      <c r="U165" s="34"/>
      <c r="V165" s="34"/>
      <c r="W165" s="34"/>
    </row>
    <row r="166" spans="2:23" s="9" customFormat="1" ht="15.75" x14ac:dyDescent="0.25">
      <c r="B166" s="6" t="s">
        <v>70</v>
      </c>
      <c r="C166" s="77" t="s">
        <v>225</v>
      </c>
      <c r="D166" s="6" t="s">
        <v>39</v>
      </c>
      <c r="M166" s="34">
        <f t="shared" si="20"/>
        <v>0</v>
      </c>
      <c r="N166" s="47">
        <f t="shared" si="21"/>
        <v>0</v>
      </c>
      <c r="O166" s="34"/>
      <c r="P166" s="34"/>
      <c r="Q166" s="34"/>
      <c r="R166" s="34"/>
      <c r="S166" s="34"/>
      <c r="T166" s="34"/>
      <c r="U166" s="34"/>
      <c r="V166" s="34"/>
      <c r="W166" s="34"/>
    </row>
    <row r="167" spans="2:23" s="9" customFormat="1" ht="15.75" x14ac:dyDescent="0.25">
      <c r="B167" s="6" t="s">
        <v>83</v>
      </c>
      <c r="C167" s="77" t="s">
        <v>226</v>
      </c>
      <c r="D167" s="20" t="s">
        <v>40</v>
      </c>
      <c r="F167" s="9">
        <v>41</v>
      </c>
      <c r="G167" s="9">
        <v>2</v>
      </c>
      <c r="M167" s="34">
        <f t="shared" si="20"/>
        <v>43</v>
      </c>
      <c r="N167" s="47">
        <f t="shared" si="21"/>
        <v>2.8141361256544501E-2</v>
      </c>
      <c r="O167" s="34"/>
      <c r="P167" s="34"/>
      <c r="Q167" s="34"/>
      <c r="R167" s="34"/>
      <c r="S167" s="34"/>
      <c r="T167" s="34"/>
      <c r="U167" s="34"/>
      <c r="V167" s="34"/>
      <c r="W167" s="34"/>
    </row>
    <row r="168" spans="2:23" s="9" customFormat="1" ht="15.75" x14ac:dyDescent="0.25">
      <c r="B168" s="6" t="s">
        <v>84</v>
      </c>
      <c r="C168" s="77" t="s">
        <v>227</v>
      </c>
      <c r="D168" s="6" t="s">
        <v>46</v>
      </c>
      <c r="E168" s="9">
        <v>10</v>
      </c>
      <c r="F168" s="9">
        <v>22</v>
      </c>
      <c r="M168" s="34">
        <f t="shared" si="20"/>
        <v>32</v>
      </c>
      <c r="N168" s="47">
        <f t="shared" si="21"/>
        <v>2.0942408376963352E-2</v>
      </c>
      <c r="O168" s="34"/>
      <c r="P168" s="34"/>
      <c r="Q168" s="34"/>
      <c r="R168" s="34"/>
      <c r="S168" s="34"/>
      <c r="T168" s="34"/>
      <c r="U168" s="34"/>
      <c r="V168" s="34"/>
      <c r="W168" s="34"/>
    </row>
    <row r="169" spans="2:23" s="9" customFormat="1" ht="15.75" x14ac:dyDescent="0.25">
      <c r="B169" s="6" t="s">
        <v>72</v>
      </c>
      <c r="C169" s="77" t="s">
        <v>228</v>
      </c>
      <c r="D169" s="20" t="s">
        <v>42</v>
      </c>
      <c r="I169" s="9">
        <v>9</v>
      </c>
      <c r="M169" s="34">
        <f t="shared" si="20"/>
        <v>9</v>
      </c>
      <c r="N169" s="47">
        <f t="shared" si="21"/>
        <v>5.8900523560209425E-3</v>
      </c>
      <c r="O169" s="34"/>
      <c r="P169" s="34"/>
      <c r="Q169" s="34"/>
      <c r="R169" s="34"/>
      <c r="S169" s="34"/>
      <c r="T169" s="34"/>
      <c r="U169" s="34"/>
      <c r="V169" s="34"/>
      <c r="W169" s="34"/>
    </row>
    <row r="170" spans="2:23" s="9" customFormat="1" ht="15.75" x14ac:dyDescent="0.25">
      <c r="B170" s="6" t="s">
        <v>74</v>
      </c>
      <c r="C170" s="77" t="s">
        <v>229</v>
      </c>
      <c r="D170" s="6" t="s">
        <v>44</v>
      </c>
      <c r="E170" s="9">
        <v>4</v>
      </c>
      <c r="F170" s="9">
        <v>46</v>
      </c>
      <c r="K170" s="9">
        <v>12</v>
      </c>
      <c r="M170" s="34">
        <f t="shared" si="20"/>
        <v>62</v>
      </c>
      <c r="N170" s="47">
        <f t="shared" si="21"/>
        <v>4.0575916230366493E-2</v>
      </c>
      <c r="O170" s="34"/>
      <c r="P170" s="34"/>
      <c r="Q170" s="34"/>
      <c r="R170" s="34"/>
      <c r="S170" s="34"/>
      <c r="T170" s="34"/>
      <c r="U170" s="34"/>
      <c r="V170" s="34"/>
      <c r="W170" s="34"/>
    </row>
    <row r="171" spans="2:23" s="9" customFormat="1" ht="15.75" x14ac:dyDescent="0.25">
      <c r="B171" s="6" t="s">
        <v>75</v>
      </c>
      <c r="C171" s="77" t="s">
        <v>230</v>
      </c>
      <c r="D171" s="6" t="s">
        <v>45</v>
      </c>
      <c r="F171" s="9">
        <v>9</v>
      </c>
      <c r="I171" s="9">
        <v>2</v>
      </c>
      <c r="M171" s="34">
        <f t="shared" si="20"/>
        <v>11</v>
      </c>
      <c r="N171" s="47">
        <f t="shared" si="21"/>
        <v>7.1989528795811516E-3</v>
      </c>
      <c r="O171" s="34"/>
      <c r="P171" s="34"/>
      <c r="Q171" s="34"/>
      <c r="R171" s="34"/>
      <c r="S171" s="34"/>
      <c r="T171" s="34"/>
      <c r="U171" s="34"/>
      <c r="V171" s="34"/>
      <c r="W171" s="34"/>
    </row>
    <row r="172" spans="2:23" s="9" customFormat="1" ht="15.75" x14ac:dyDescent="0.25">
      <c r="B172" s="6" t="s">
        <v>85</v>
      </c>
      <c r="C172" s="77" t="s">
        <v>231</v>
      </c>
      <c r="E172" s="9">
        <v>4</v>
      </c>
      <c r="F172" s="9">
        <v>7</v>
      </c>
      <c r="K172" s="9">
        <v>2</v>
      </c>
      <c r="M172" s="34">
        <f t="shared" si="20"/>
        <v>13</v>
      </c>
      <c r="N172" s="47">
        <f t="shared" si="21"/>
        <v>8.5078534031413616E-3</v>
      </c>
      <c r="O172" s="34"/>
      <c r="P172" s="34"/>
      <c r="Q172" s="34"/>
      <c r="R172" s="34"/>
      <c r="S172" s="34"/>
      <c r="T172" s="34"/>
      <c r="U172" s="34"/>
      <c r="V172" s="34"/>
      <c r="W172" s="34"/>
    </row>
    <row r="173" spans="2:23" s="9" customFormat="1" ht="16.5" thickBot="1" x14ac:dyDescent="0.3">
      <c r="B173" s="8" t="s">
        <v>119</v>
      </c>
      <c r="C173" s="77"/>
      <c r="E173" s="35">
        <f t="shared" ref="E173:N173" si="22">SUM(E136:E172)</f>
        <v>211</v>
      </c>
      <c r="F173" s="35">
        <f t="shared" si="22"/>
        <v>875</v>
      </c>
      <c r="G173" s="35">
        <f t="shared" si="22"/>
        <v>31</v>
      </c>
      <c r="H173" s="35">
        <f t="shared" si="22"/>
        <v>245</v>
      </c>
      <c r="I173" s="35">
        <f t="shared" si="22"/>
        <v>59</v>
      </c>
      <c r="J173" s="35">
        <f t="shared" si="22"/>
        <v>5</v>
      </c>
      <c r="K173" s="35">
        <f t="shared" si="22"/>
        <v>102</v>
      </c>
      <c r="L173" s="35">
        <f t="shared" si="22"/>
        <v>0</v>
      </c>
      <c r="M173" s="35">
        <f t="shared" si="22"/>
        <v>1528</v>
      </c>
      <c r="N173" s="58">
        <f t="shared" si="22"/>
        <v>0.99999999999999989</v>
      </c>
      <c r="O173" s="34"/>
      <c r="P173" s="34"/>
      <c r="Q173" s="34"/>
      <c r="R173" s="34"/>
      <c r="S173" s="34"/>
      <c r="T173" s="34"/>
      <c r="U173" s="34"/>
      <c r="V173" s="34"/>
      <c r="W173" s="34"/>
    </row>
    <row r="174" spans="2:23" s="9" customFormat="1" ht="16.5" thickTop="1" x14ac:dyDescent="0.25">
      <c r="B174" s="6"/>
      <c r="C174" s="6"/>
      <c r="E174" s="34"/>
      <c r="F174" s="36"/>
      <c r="G174" s="36" t="s">
        <v>118</v>
      </c>
      <c r="H174" s="34">
        <f>+H173+F173</f>
        <v>1120</v>
      </c>
      <c r="I174" s="34"/>
      <c r="J174" s="34"/>
      <c r="K174" s="34"/>
      <c r="L174" s="63" t="s">
        <v>180</v>
      </c>
      <c r="M174" s="34">
        <f>36-7</f>
        <v>29</v>
      </c>
      <c r="N174" s="10">
        <f>COUNT(E136:L171)</f>
        <v>52</v>
      </c>
      <c r="O174" s="34"/>
      <c r="P174" s="34"/>
      <c r="Q174" s="34"/>
      <c r="R174" s="34"/>
      <c r="S174" s="34"/>
      <c r="T174" s="34"/>
      <c r="U174" s="34"/>
      <c r="V174" s="34"/>
      <c r="W174" s="34"/>
    </row>
    <row r="175" spans="2:23" s="9" customFormat="1" ht="15.75" x14ac:dyDescent="0.25">
      <c r="B175" s="6"/>
      <c r="C175" s="6"/>
      <c r="D175" s="55" t="s">
        <v>177</v>
      </c>
      <c r="E175" s="56">
        <f t="shared" ref="E175:M175" si="23">+E173/$M173</f>
        <v>0.13808900523560211</v>
      </c>
      <c r="F175" s="56">
        <f t="shared" si="23"/>
        <v>0.57264397905759157</v>
      </c>
      <c r="G175" s="56">
        <f t="shared" si="23"/>
        <v>2.0287958115183247E-2</v>
      </c>
      <c r="H175" s="56">
        <f t="shared" si="23"/>
        <v>0.16034031413612565</v>
      </c>
      <c r="I175" s="56">
        <f t="shared" si="23"/>
        <v>3.8612565445026177E-2</v>
      </c>
      <c r="J175" s="56">
        <f t="shared" si="23"/>
        <v>3.2722513089005235E-3</v>
      </c>
      <c r="K175" s="56">
        <f t="shared" si="23"/>
        <v>6.6753926701570682E-2</v>
      </c>
      <c r="L175" s="56">
        <f t="shared" si="23"/>
        <v>0</v>
      </c>
      <c r="M175" s="56">
        <f t="shared" si="23"/>
        <v>1</v>
      </c>
      <c r="N175" s="34"/>
      <c r="O175" s="34"/>
      <c r="P175" s="34"/>
      <c r="Q175" s="34"/>
      <c r="R175" s="34"/>
      <c r="S175" s="34"/>
      <c r="T175" s="34"/>
      <c r="U175" s="34"/>
      <c r="V175" s="34"/>
      <c r="W175" s="34"/>
    </row>
    <row r="176" spans="2:23" s="9" customFormat="1" ht="15.75" x14ac:dyDescent="0.25">
      <c r="B176" s="6"/>
      <c r="C176" s="6"/>
      <c r="D176" s="55"/>
      <c r="E176" s="56"/>
      <c r="F176" s="56"/>
      <c r="G176" s="56"/>
      <c r="H176" s="56"/>
      <c r="I176" s="56"/>
      <c r="J176" s="56"/>
      <c r="K176" s="56"/>
      <c r="L176" s="56"/>
      <c r="M176" s="56"/>
      <c r="N176" s="34"/>
      <c r="O176" s="34"/>
      <c r="P176" s="34"/>
      <c r="Q176" s="34"/>
      <c r="R176" s="34"/>
      <c r="S176" s="34"/>
      <c r="T176" s="34"/>
      <c r="U176" s="34"/>
      <c r="V176" s="34"/>
      <c r="W176" s="34"/>
    </row>
    <row r="177" spans="2:23" s="9" customFormat="1" ht="15.75" x14ac:dyDescent="0.25">
      <c r="B177" s="5" t="s">
        <v>157</v>
      </c>
      <c r="C177" s="5"/>
      <c r="D177" s="6"/>
      <c r="E177" s="34"/>
      <c r="F177" s="36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</row>
    <row r="178" spans="2:23" s="9" customFormat="1" ht="15.75" x14ac:dyDescent="0.25">
      <c r="B178" s="19" t="s">
        <v>47</v>
      </c>
      <c r="C178" s="19"/>
      <c r="D178" s="19" t="s">
        <v>187</v>
      </c>
      <c r="E178" s="34"/>
      <c r="F178" s="36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</row>
    <row r="179" spans="2:23" s="9" customFormat="1" ht="15.75" x14ac:dyDescent="0.25">
      <c r="B179" s="18" t="s">
        <v>76</v>
      </c>
      <c r="C179" s="18"/>
      <c r="D179" s="82" t="s">
        <v>188</v>
      </c>
      <c r="E179" s="37" t="s">
        <v>24</v>
      </c>
      <c r="F179" s="37" t="s">
        <v>137</v>
      </c>
      <c r="G179" s="37" t="s">
        <v>138</v>
      </c>
      <c r="H179" s="37" t="s">
        <v>137</v>
      </c>
      <c r="I179" s="37" t="s">
        <v>139</v>
      </c>
      <c r="J179" s="37" t="s">
        <v>143</v>
      </c>
      <c r="K179" s="37" t="s">
        <v>144</v>
      </c>
      <c r="L179" s="37" t="s">
        <v>145</v>
      </c>
      <c r="M179" s="37" t="s">
        <v>116</v>
      </c>
      <c r="N179" s="7" t="s">
        <v>177</v>
      </c>
      <c r="O179" s="34"/>
      <c r="P179" s="34"/>
      <c r="Q179" s="34"/>
      <c r="R179" s="34"/>
      <c r="S179" s="34"/>
      <c r="T179" s="34"/>
      <c r="U179" s="34"/>
      <c r="V179" s="34"/>
      <c r="W179" s="34"/>
    </row>
    <row r="180" spans="2:23" s="9" customFormat="1" ht="15.75" x14ac:dyDescent="0.25">
      <c r="B180" s="6" t="s">
        <v>62</v>
      </c>
      <c r="C180" s="77" t="s">
        <v>197</v>
      </c>
      <c r="D180" s="82" t="s">
        <v>27</v>
      </c>
      <c r="E180" s="81"/>
      <c r="M180" s="34">
        <f>SUM(E180:L180)</f>
        <v>0</v>
      </c>
      <c r="N180" s="47">
        <f t="shared" ref="N180:N216" si="24">+M180/M$217</f>
        <v>0</v>
      </c>
      <c r="O180" s="34"/>
      <c r="P180" s="34"/>
      <c r="Q180" s="34"/>
      <c r="R180" s="34"/>
      <c r="S180" s="34"/>
      <c r="T180" s="34"/>
      <c r="U180" s="34"/>
      <c r="V180" s="34"/>
      <c r="W180" s="34"/>
    </row>
    <row r="181" spans="2:23" s="9" customFormat="1" ht="15.75" x14ac:dyDescent="0.25">
      <c r="B181" s="6" t="s">
        <v>63</v>
      </c>
      <c r="C181" s="77" t="s">
        <v>198</v>
      </c>
      <c r="D181" s="82" t="s">
        <v>28</v>
      </c>
      <c r="E181" s="81"/>
      <c r="J181" s="81">
        <v>1</v>
      </c>
      <c r="M181" s="34">
        <f>SUM(F181:L181)</f>
        <v>1</v>
      </c>
      <c r="N181" s="47">
        <f t="shared" si="24"/>
        <v>3.3333333333333333E-2</v>
      </c>
      <c r="O181" s="34"/>
      <c r="P181" s="34"/>
      <c r="Q181" s="34"/>
      <c r="R181" s="34"/>
      <c r="S181" s="34"/>
      <c r="T181" s="34"/>
      <c r="U181" s="34"/>
      <c r="V181" s="34"/>
      <c r="W181" s="34"/>
    </row>
    <row r="182" spans="2:23" s="9" customFormat="1" ht="15.75" x14ac:dyDescent="0.25">
      <c r="B182" s="6" t="s">
        <v>53</v>
      </c>
      <c r="C182" s="77" t="s">
        <v>213</v>
      </c>
      <c r="D182" s="82" t="s">
        <v>18</v>
      </c>
      <c r="E182" s="80"/>
      <c r="M182" s="34">
        <f t="shared" ref="M182:M216" si="25">SUM(E182:L182)</f>
        <v>0</v>
      </c>
      <c r="N182" s="47">
        <f t="shared" si="24"/>
        <v>0</v>
      </c>
      <c r="O182" s="34"/>
      <c r="P182" s="34"/>
      <c r="Q182" s="34"/>
      <c r="R182" s="34"/>
      <c r="S182" s="34"/>
      <c r="T182" s="34"/>
      <c r="U182" s="34"/>
      <c r="V182" s="34"/>
      <c r="W182" s="34"/>
    </row>
    <row r="183" spans="2:23" s="9" customFormat="1" ht="15.75" x14ac:dyDescent="0.25">
      <c r="B183" s="6" t="s">
        <v>55</v>
      </c>
      <c r="C183" s="77" t="s">
        <v>199</v>
      </c>
      <c r="D183" s="82" t="s">
        <v>20</v>
      </c>
      <c r="E183" s="81"/>
      <c r="J183" s="81">
        <v>1</v>
      </c>
      <c r="M183" s="34">
        <f t="shared" si="25"/>
        <v>1</v>
      </c>
      <c r="N183" s="47">
        <f t="shared" si="24"/>
        <v>3.3333333333333333E-2</v>
      </c>
      <c r="O183" s="34"/>
      <c r="P183" s="34"/>
      <c r="Q183" s="34"/>
      <c r="R183" s="34"/>
      <c r="S183" s="34"/>
      <c r="T183" s="34"/>
      <c r="U183" s="34"/>
      <c r="V183" s="34"/>
      <c r="W183" s="34"/>
    </row>
    <row r="184" spans="2:23" s="9" customFormat="1" ht="15.75" x14ac:dyDescent="0.25">
      <c r="B184" s="6" t="s">
        <v>56</v>
      </c>
      <c r="C184" s="77" t="s">
        <v>200</v>
      </c>
      <c r="D184" s="82" t="s">
        <v>21</v>
      </c>
      <c r="E184" s="81">
        <v>4</v>
      </c>
      <c r="M184" s="34">
        <f t="shared" si="25"/>
        <v>4</v>
      </c>
      <c r="N184" s="47">
        <f t="shared" si="24"/>
        <v>0.13333333333333333</v>
      </c>
      <c r="O184" s="34"/>
      <c r="P184" s="34"/>
      <c r="Q184" s="34"/>
      <c r="R184" s="34"/>
      <c r="S184" s="34"/>
      <c r="T184" s="34"/>
      <c r="U184" s="34"/>
      <c r="V184" s="34"/>
      <c r="W184" s="34"/>
    </row>
    <row r="185" spans="2:23" s="9" customFormat="1" ht="15.75" x14ac:dyDescent="0.25">
      <c r="B185" s="6" t="s">
        <v>57</v>
      </c>
      <c r="C185" s="77" t="s">
        <v>201</v>
      </c>
      <c r="D185" s="82" t="s">
        <v>22</v>
      </c>
      <c r="E185" s="81">
        <v>13</v>
      </c>
      <c r="M185" s="34">
        <f t="shared" si="25"/>
        <v>13</v>
      </c>
      <c r="N185" s="47">
        <f t="shared" si="24"/>
        <v>0.43333333333333335</v>
      </c>
      <c r="O185" s="34"/>
      <c r="P185" s="34"/>
      <c r="Q185" s="34"/>
      <c r="R185" s="34"/>
      <c r="S185" s="34"/>
      <c r="T185" s="34"/>
      <c r="U185" s="34"/>
      <c r="V185" s="34"/>
      <c r="W185" s="34"/>
    </row>
    <row r="186" spans="2:23" s="9" customFormat="1" ht="15.75" x14ac:dyDescent="0.25">
      <c r="B186" s="6" t="s">
        <v>79</v>
      </c>
      <c r="C186" s="77" t="s">
        <v>202</v>
      </c>
      <c r="D186" s="82" t="s">
        <v>31</v>
      </c>
      <c r="E186" s="81">
        <v>4</v>
      </c>
      <c r="M186" s="34">
        <f t="shared" si="25"/>
        <v>4</v>
      </c>
      <c r="N186" s="47">
        <f t="shared" si="24"/>
        <v>0.13333333333333333</v>
      </c>
      <c r="O186" s="34"/>
      <c r="P186" s="34"/>
      <c r="Q186" s="34"/>
      <c r="R186" s="34"/>
      <c r="S186" s="34"/>
      <c r="T186" s="34"/>
      <c r="U186" s="34"/>
      <c r="V186" s="34"/>
      <c r="W186" s="34"/>
    </row>
    <row r="187" spans="2:23" s="9" customFormat="1" ht="15.75" x14ac:dyDescent="0.25">
      <c r="B187" s="6" t="s">
        <v>67</v>
      </c>
      <c r="C187" s="77" t="s">
        <v>203</v>
      </c>
      <c r="D187" s="82" t="s">
        <v>33</v>
      </c>
      <c r="E187" s="81"/>
      <c r="M187" s="34">
        <f t="shared" si="25"/>
        <v>0</v>
      </c>
      <c r="N187" s="47">
        <f t="shared" si="24"/>
        <v>0</v>
      </c>
      <c r="O187" s="34"/>
      <c r="P187" s="34"/>
      <c r="Q187" s="34"/>
      <c r="R187" s="34"/>
      <c r="S187" s="34"/>
      <c r="T187" s="34"/>
      <c r="U187" s="34"/>
      <c r="V187" s="34"/>
      <c r="W187" s="34"/>
    </row>
    <row r="188" spans="2:23" s="9" customFormat="1" ht="15.75" x14ac:dyDescent="0.25">
      <c r="B188" s="6" t="s">
        <v>69</v>
      </c>
      <c r="C188" s="77" t="s">
        <v>204</v>
      </c>
      <c r="D188" s="82" t="s">
        <v>38</v>
      </c>
      <c r="E188" s="81"/>
      <c r="M188" s="34">
        <f t="shared" si="25"/>
        <v>0</v>
      </c>
      <c r="N188" s="47">
        <f t="shared" si="24"/>
        <v>0</v>
      </c>
      <c r="O188" s="34"/>
      <c r="P188" s="34"/>
      <c r="Q188" s="34"/>
      <c r="R188" s="34"/>
      <c r="S188" s="34"/>
      <c r="T188" s="34"/>
      <c r="U188" s="34"/>
      <c r="V188" s="34"/>
      <c r="W188" s="34"/>
    </row>
    <row r="189" spans="2:23" s="9" customFormat="1" ht="15.75" x14ac:dyDescent="0.25">
      <c r="B189" s="6" t="s">
        <v>71</v>
      </c>
      <c r="C189" s="77" t="s">
        <v>205</v>
      </c>
      <c r="D189" s="82" t="s">
        <v>41</v>
      </c>
      <c r="E189" s="81"/>
      <c r="M189" s="34">
        <f t="shared" si="25"/>
        <v>0</v>
      </c>
      <c r="N189" s="47">
        <f t="shared" si="24"/>
        <v>0</v>
      </c>
      <c r="O189" s="34"/>
      <c r="P189" s="34"/>
      <c r="Q189" s="34"/>
      <c r="R189" s="34"/>
      <c r="S189" s="34"/>
      <c r="T189" s="34"/>
      <c r="U189" s="34"/>
      <c r="V189" s="34"/>
      <c r="W189" s="34"/>
    </row>
    <row r="190" spans="2:23" s="9" customFormat="1" ht="15.75" x14ac:dyDescent="0.25">
      <c r="B190" s="6" t="s">
        <v>73</v>
      </c>
      <c r="C190" s="77" t="s">
        <v>206</v>
      </c>
      <c r="D190" s="82" t="s">
        <v>43</v>
      </c>
      <c r="E190" s="81">
        <v>5</v>
      </c>
      <c r="M190" s="34">
        <f t="shared" si="25"/>
        <v>5</v>
      </c>
      <c r="N190" s="47">
        <f t="shared" si="24"/>
        <v>0.16666666666666666</v>
      </c>
      <c r="O190" s="34"/>
      <c r="P190" s="34"/>
      <c r="Q190" s="34"/>
      <c r="R190" s="34"/>
      <c r="S190" s="34"/>
      <c r="T190" s="34"/>
      <c r="U190" s="34"/>
      <c r="V190" s="34"/>
      <c r="W190" s="34"/>
    </row>
    <row r="191" spans="2:23" s="9" customFormat="1" ht="15.75" x14ac:dyDescent="0.25">
      <c r="B191" s="6" t="s">
        <v>61</v>
      </c>
      <c r="C191" s="77" t="s">
        <v>196</v>
      </c>
      <c r="D191" s="6" t="s">
        <v>26</v>
      </c>
      <c r="M191" s="34">
        <f t="shared" si="25"/>
        <v>0</v>
      </c>
      <c r="N191" s="47">
        <f t="shared" si="24"/>
        <v>0</v>
      </c>
      <c r="O191" s="34"/>
      <c r="P191" s="34"/>
      <c r="Q191" s="34"/>
      <c r="R191" s="34"/>
      <c r="S191" s="34"/>
      <c r="T191" s="34"/>
      <c r="U191" s="34"/>
      <c r="V191" s="34"/>
      <c r="W191" s="34"/>
    </row>
    <row r="192" spans="2:23" s="9" customFormat="1" ht="15.75" x14ac:dyDescent="0.25">
      <c r="B192" s="6" t="s">
        <v>48</v>
      </c>
      <c r="C192" s="77" t="s">
        <v>207</v>
      </c>
      <c r="D192" s="6" t="s">
        <v>12</v>
      </c>
      <c r="M192" s="34">
        <f t="shared" si="25"/>
        <v>0</v>
      </c>
      <c r="N192" s="47">
        <f t="shared" si="24"/>
        <v>0</v>
      </c>
      <c r="O192" s="34"/>
      <c r="P192" s="34"/>
      <c r="Q192" s="34"/>
      <c r="R192" s="34"/>
      <c r="S192" s="34"/>
      <c r="T192" s="34"/>
      <c r="U192" s="34"/>
      <c r="V192" s="34"/>
      <c r="W192" s="34"/>
    </row>
    <row r="193" spans="2:23" s="9" customFormat="1" ht="15.75" x14ac:dyDescent="0.25">
      <c r="B193" s="6" t="s">
        <v>77</v>
      </c>
      <c r="C193" s="77" t="s">
        <v>208</v>
      </c>
      <c r="D193" s="20" t="s">
        <v>13</v>
      </c>
      <c r="M193" s="34">
        <f t="shared" si="25"/>
        <v>0</v>
      </c>
      <c r="N193" s="47">
        <f t="shared" si="24"/>
        <v>0</v>
      </c>
      <c r="O193" s="34"/>
      <c r="P193" s="34"/>
      <c r="Q193" s="34"/>
      <c r="R193" s="34"/>
      <c r="S193" s="34"/>
      <c r="T193" s="34"/>
      <c r="U193" s="34"/>
      <c r="V193" s="34"/>
      <c r="W193" s="34"/>
    </row>
    <row r="194" spans="2:23" s="9" customFormat="1" ht="15.75" x14ac:dyDescent="0.25">
      <c r="B194" s="6" t="s">
        <v>49</v>
      </c>
      <c r="C194" s="77" t="s">
        <v>209</v>
      </c>
      <c r="D194" s="6" t="s">
        <v>14</v>
      </c>
      <c r="M194" s="34">
        <f t="shared" si="25"/>
        <v>0</v>
      </c>
      <c r="N194" s="47">
        <f t="shared" si="24"/>
        <v>0</v>
      </c>
      <c r="O194" s="34"/>
      <c r="P194" s="34"/>
      <c r="Q194" s="34"/>
      <c r="R194" s="34"/>
      <c r="S194" s="34"/>
      <c r="T194" s="34"/>
      <c r="U194" s="34"/>
      <c r="V194" s="34"/>
      <c r="W194" s="34"/>
    </row>
    <row r="195" spans="2:23" s="9" customFormat="1" ht="15.75" x14ac:dyDescent="0.25">
      <c r="B195" s="6" t="s">
        <v>50</v>
      </c>
      <c r="C195" s="77" t="s">
        <v>210</v>
      </c>
      <c r="D195" s="6" t="s">
        <v>15</v>
      </c>
      <c r="M195" s="34">
        <f t="shared" si="25"/>
        <v>0</v>
      </c>
      <c r="N195" s="47">
        <f t="shared" si="24"/>
        <v>0</v>
      </c>
      <c r="O195" s="34"/>
      <c r="P195" s="34"/>
      <c r="Q195" s="34"/>
      <c r="R195" s="34"/>
      <c r="S195" s="34"/>
      <c r="T195" s="34"/>
      <c r="U195" s="34"/>
      <c r="V195" s="34"/>
      <c r="W195" s="34"/>
    </row>
    <row r="196" spans="2:23" s="9" customFormat="1" ht="15.75" x14ac:dyDescent="0.25">
      <c r="B196" s="6" t="s">
        <v>51</v>
      </c>
      <c r="C196" s="77" t="s">
        <v>211</v>
      </c>
      <c r="D196" s="6" t="s">
        <v>16</v>
      </c>
      <c r="M196" s="34">
        <f t="shared" si="25"/>
        <v>0</v>
      </c>
      <c r="N196" s="47">
        <f t="shared" si="24"/>
        <v>0</v>
      </c>
      <c r="O196" s="34"/>
      <c r="P196" s="34"/>
      <c r="Q196" s="34"/>
      <c r="R196" s="34"/>
      <c r="S196" s="34"/>
      <c r="T196" s="34"/>
      <c r="U196" s="34"/>
      <c r="V196" s="34"/>
      <c r="W196" s="34"/>
    </row>
    <row r="197" spans="2:23" s="9" customFormat="1" ht="15.75" x14ac:dyDescent="0.25">
      <c r="B197" s="6" t="s">
        <v>52</v>
      </c>
      <c r="C197" s="77" t="s">
        <v>212</v>
      </c>
      <c r="D197" s="6" t="s">
        <v>17</v>
      </c>
      <c r="M197" s="34">
        <f t="shared" si="25"/>
        <v>0</v>
      </c>
      <c r="N197" s="47">
        <f t="shared" si="24"/>
        <v>0</v>
      </c>
      <c r="O197" s="34"/>
      <c r="P197" s="34"/>
      <c r="Q197" s="34"/>
      <c r="R197" s="34"/>
      <c r="S197" s="34"/>
      <c r="T197" s="34"/>
      <c r="U197" s="34"/>
      <c r="V197" s="34"/>
      <c r="W197" s="34"/>
    </row>
    <row r="198" spans="2:23" s="9" customFormat="1" ht="15.75" x14ac:dyDescent="0.25">
      <c r="B198" s="6" t="s">
        <v>54</v>
      </c>
      <c r="C198" s="77" t="s">
        <v>214</v>
      </c>
      <c r="D198" s="6" t="s">
        <v>19</v>
      </c>
      <c r="M198" s="34">
        <f t="shared" si="25"/>
        <v>0</v>
      </c>
      <c r="N198" s="47">
        <f t="shared" si="24"/>
        <v>0</v>
      </c>
      <c r="O198" s="34"/>
      <c r="P198" s="34"/>
      <c r="Q198" s="34"/>
      <c r="R198" s="34"/>
      <c r="S198" s="34"/>
      <c r="T198" s="34"/>
      <c r="U198" s="34"/>
      <c r="V198" s="34"/>
      <c r="W198" s="34"/>
    </row>
    <row r="199" spans="2:23" s="9" customFormat="1" ht="15.75" x14ac:dyDescent="0.25">
      <c r="B199" s="6" t="s">
        <v>58</v>
      </c>
      <c r="C199" s="77" t="s">
        <v>232</v>
      </c>
      <c r="D199" s="6" t="s">
        <v>23</v>
      </c>
      <c r="J199" s="9">
        <v>2</v>
      </c>
      <c r="M199" s="34">
        <f t="shared" si="25"/>
        <v>2</v>
      </c>
      <c r="N199" s="47">
        <f t="shared" si="24"/>
        <v>6.6666666666666666E-2</v>
      </c>
      <c r="O199" s="34"/>
      <c r="P199" s="34"/>
      <c r="Q199" s="34"/>
      <c r="R199" s="34"/>
      <c r="S199" s="34"/>
      <c r="T199" s="34"/>
      <c r="U199" s="34"/>
      <c r="V199" s="34"/>
      <c r="W199" s="34"/>
    </row>
    <row r="200" spans="2:23" s="9" customFormat="1" ht="15.75" x14ac:dyDescent="0.25">
      <c r="B200" s="6" t="s">
        <v>59</v>
      </c>
      <c r="C200" s="77" t="s">
        <v>215</v>
      </c>
      <c r="D200" s="6" t="s">
        <v>24</v>
      </c>
      <c r="M200" s="34">
        <f t="shared" si="25"/>
        <v>0</v>
      </c>
      <c r="N200" s="47">
        <f t="shared" si="24"/>
        <v>0</v>
      </c>
      <c r="O200" s="34"/>
      <c r="P200" s="34"/>
      <c r="Q200" s="34"/>
      <c r="R200" s="34"/>
      <c r="S200" s="34"/>
      <c r="T200" s="34"/>
      <c r="U200" s="34"/>
      <c r="V200" s="34"/>
      <c r="W200" s="34"/>
    </row>
    <row r="201" spans="2:23" s="9" customFormat="1" ht="15.75" x14ac:dyDescent="0.25">
      <c r="B201" s="6" t="s">
        <v>60</v>
      </c>
      <c r="C201" s="77" t="s">
        <v>216</v>
      </c>
      <c r="D201" s="6" t="s">
        <v>25</v>
      </c>
      <c r="M201" s="34">
        <f t="shared" si="25"/>
        <v>0</v>
      </c>
      <c r="N201" s="47">
        <f t="shared" si="24"/>
        <v>0</v>
      </c>
      <c r="O201" s="34"/>
      <c r="P201" s="34"/>
      <c r="Q201" s="34"/>
      <c r="R201" s="34"/>
      <c r="S201" s="34"/>
      <c r="T201" s="34"/>
      <c r="U201" s="34"/>
      <c r="V201" s="34"/>
      <c r="W201" s="34"/>
    </row>
    <row r="202" spans="2:23" s="9" customFormat="1" ht="15.75" x14ac:dyDescent="0.25">
      <c r="B202" s="6" t="s">
        <v>78</v>
      </c>
      <c r="C202" s="77" t="s">
        <v>217</v>
      </c>
      <c r="D202" s="6" t="s">
        <v>195</v>
      </c>
      <c r="H202" s="84"/>
      <c r="M202" s="34">
        <f t="shared" si="25"/>
        <v>0</v>
      </c>
      <c r="N202" s="47">
        <f t="shared" si="24"/>
        <v>0</v>
      </c>
      <c r="O202" s="34"/>
      <c r="P202" s="34"/>
      <c r="Q202" s="34"/>
      <c r="R202" s="34"/>
      <c r="S202" s="34"/>
      <c r="T202" s="34"/>
      <c r="U202" s="34"/>
      <c r="V202" s="34"/>
      <c r="W202" s="34"/>
    </row>
    <row r="203" spans="2:23" s="9" customFormat="1" ht="15.75" x14ac:dyDescent="0.25">
      <c r="B203" s="6" t="s">
        <v>64</v>
      </c>
      <c r="C203" s="77" t="s">
        <v>218</v>
      </c>
      <c r="D203" s="6" t="s">
        <v>29</v>
      </c>
      <c r="M203" s="34">
        <f t="shared" si="25"/>
        <v>0</v>
      </c>
      <c r="N203" s="47">
        <f t="shared" si="24"/>
        <v>0</v>
      </c>
      <c r="O203" s="34"/>
      <c r="P203" s="34"/>
      <c r="Q203" s="34"/>
      <c r="R203" s="34"/>
      <c r="S203" s="34"/>
      <c r="T203" s="34"/>
      <c r="U203" s="34"/>
      <c r="V203" s="34"/>
      <c r="W203" s="34"/>
    </row>
    <row r="204" spans="2:23" s="9" customFormat="1" ht="15.75" x14ac:dyDescent="0.25">
      <c r="B204" s="6" t="s">
        <v>65</v>
      </c>
      <c r="C204" s="77" t="s">
        <v>219</v>
      </c>
      <c r="D204" s="6" t="s">
        <v>30</v>
      </c>
      <c r="M204" s="34">
        <f t="shared" si="25"/>
        <v>0</v>
      </c>
      <c r="N204" s="47">
        <f t="shared" si="24"/>
        <v>0</v>
      </c>
      <c r="O204" s="34"/>
      <c r="P204" s="34"/>
      <c r="Q204" s="34"/>
      <c r="R204" s="34"/>
      <c r="S204" s="34"/>
      <c r="T204" s="34"/>
      <c r="U204" s="34"/>
      <c r="V204" s="34"/>
      <c r="W204" s="34"/>
    </row>
    <row r="205" spans="2:23" s="9" customFormat="1" ht="15.75" x14ac:dyDescent="0.25">
      <c r="B205" s="6" t="s">
        <v>66</v>
      </c>
      <c r="C205" s="77" t="s">
        <v>220</v>
      </c>
      <c r="D205" s="6" t="s">
        <v>32</v>
      </c>
      <c r="M205" s="34">
        <f t="shared" si="25"/>
        <v>0</v>
      </c>
      <c r="N205" s="47">
        <f t="shared" si="24"/>
        <v>0</v>
      </c>
      <c r="O205" s="34"/>
      <c r="P205" s="34"/>
      <c r="Q205" s="34"/>
      <c r="R205" s="34"/>
      <c r="S205" s="34"/>
      <c r="T205" s="34"/>
      <c r="U205" s="34"/>
      <c r="V205" s="34"/>
      <c r="W205" s="34"/>
    </row>
    <row r="206" spans="2:23" s="9" customFormat="1" ht="15.75" x14ac:dyDescent="0.25">
      <c r="B206" s="20" t="s">
        <v>80</v>
      </c>
      <c r="C206" s="77" t="s">
        <v>221</v>
      </c>
      <c r="D206" s="20" t="s">
        <v>34</v>
      </c>
      <c r="M206" s="34">
        <f t="shared" si="25"/>
        <v>0</v>
      </c>
      <c r="N206" s="47">
        <f t="shared" si="24"/>
        <v>0</v>
      </c>
      <c r="O206" s="34"/>
      <c r="P206" s="34"/>
      <c r="Q206" s="34"/>
      <c r="R206" s="34"/>
      <c r="S206" s="34"/>
      <c r="T206" s="34"/>
      <c r="U206" s="34"/>
      <c r="V206" s="34"/>
      <c r="W206" s="34"/>
    </row>
    <row r="207" spans="2:23" s="9" customFormat="1" ht="15.75" x14ac:dyDescent="0.25">
      <c r="B207" s="20" t="s">
        <v>81</v>
      </c>
      <c r="C207" s="77" t="s">
        <v>222</v>
      </c>
      <c r="D207" s="20" t="s">
        <v>35</v>
      </c>
      <c r="M207" s="34">
        <f t="shared" si="25"/>
        <v>0</v>
      </c>
      <c r="N207" s="47">
        <f t="shared" si="24"/>
        <v>0</v>
      </c>
      <c r="O207" s="34"/>
      <c r="P207" s="34"/>
      <c r="Q207" s="34"/>
      <c r="R207" s="34"/>
      <c r="S207" s="34"/>
      <c r="T207" s="34"/>
      <c r="U207" s="34"/>
      <c r="V207" s="34"/>
      <c r="W207" s="34"/>
    </row>
    <row r="208" spans="2:23" s="9" customFormat="1" ht="15.75" x14ac:dyDescent="0.25">
      <c r="B208" s="20" t="s">
        <v>82</v>
      </c>
      <c r="C208" s="77" t="s">
        <v>223</v>
      </c>
      <c r="D208" s="20" t="s">
        <v>36</v>
      </c>
      <c r="M208" s="34">
        <f t="shared" si="25"/>
        <v>0</v>
      </c>
      <c r="N208" s="47">
        <f t="shared" si="24"/>
        <v>0</v>
      </c>
      <c r="O208" s="34"/>
      <c r="P208" s="34"/>
      <c r="Q208" s="34"/>
      <c r="R208" s="34"/>
      <c r="S208" s="34"/>
      <c r="T208" s="34"/>
      <c r="U208" s="34"/>
      <c r="V208" s="34"/>
      <c r="W208" s="34"/>
    </row>
    <row r="209" spans="2:23" s="9" customFormat="1" ht="15.75" x14ac:dyDescent="0.25">
      <c r="B209" s="6" t="s">
        <v>68</v>
      </c>
      <c r="C209" s="77" t="s">
        <v>224</v>
      </c>
      <c r="D209" s="6" t="s">
        <v>37</v>
      </c>
      <c r="M209" s="34">
        <f t="shared" si="25"/>
        <v>0</v>
      </c>
      <c r="N209" s="47">
        <f t="shared" si="24"/>
        <v>0</v>
      </c>
      <c r="O209" s="34"/>
      <c r="P209" s="34"/>
      <c r="Q209" s="34"/>
      <c r="R209" s="34"/>
      <c r="S209" s="34"/>
      <c r="T209" s="34"/>
      <c r="U209" s="34"/>
      <c r="V209" s="34"/>
      <c r="W209" s="34"/>
    </row>
    <row r="210" spans="2:23" s="9" customFormat="1" ht="15.75" x14ac:dyDescent="0.25">
      <c r="B210" s="6" t="s">
        <v>70</v>
      </c>
      <c r="C210" s="77" t="s">
        <v>225</v>
      </c>
      <c r="D210" s="6" t="s">
        <v>39</v>
      </c>
      <c r="M210" s="34">
        <f t="shared" si="25"/>
        <v>0</v>
      </c>
      <c r="N210" s="47">
        <f t="shared" si="24"/>
        <v>0</v>
      </c>
      <c r="O210" s="34"/>
      <c r="P210" s="34"/>
      <c r="Q210" s="34"/>
      <c r="R210" s="34"/>
      <c r="S210" s="34"/>
      <c r="T210" s="34"/>
      <c r="U210" s="34"/>
      <c r="V210" s="34"/>
      <c r="W210" s="34"/>
    </row>
    <row r="211" spans="2:23" s="9" customFormat="1" ht="15.75" x14ac:dyDescent="0.25">
      <c r="B211" s="6" t="s">
        <v>83</v>
      </c>
      <c r="C211" s="77" t="s">
        <v>226</v>
      </c>
      <c r="D211" s="20" t="s">
        <v>40</v>
      </c>
      <c r="M211" s="34">
        <f t="shared" si="25"/>
        <v>0</v>
      </c>
      <c r="N211" s="47">
        <f t="shared" si="24"/>
        <v>0</v>
      </c>
      <c r="O211" s="34"/>
      <c r="P211" s="34"/>
      <c r="Q211" s="34"/>
      <c r="R211" s="34"/>
      <c r="S211" s="34"/>
      <c r="T211" s="34"/>
      <c r="U211" s="34"/>
      <c r="V211" s="34"/>
      <c r="W211" s="34"/>
    </row>
    <row r="212" spans="2:23" s="9" customFormat="1" ht="15.75" x14ac:dyDescent="0.25">
      <c r="B212" s="6" t="s">
        <v>84</v>
      </c>
      <c r="C212" s="77" t="s">
        <v>227</v>
      </c>
      <c r="D212" s="6" t="s">
        <v>46</v>
      </c>
      <c r="M212" s="34">
        <f t="shared" si="25"/>
        <v>0</v>
      </c>
      <c r="N212" s="47">
        <f t="shared" si="24"/>
        <v>0</v>
      </c>
      <c r="O212" s="34"/>
      <c r="P212" s="34"/>
      <c r="Q212" s="34"/>
      <c r="R212" s="34"/>
      <c r="S212" s="34"/>
      <c r="T212" s="34"/>
      <c r="U212" s="34"/>
      <c r="V212" s="34"/>
      <c r="W212" s="34"/>
    </row>
    <row r="213" spans="2:23" s="9" customFormat="1" ht="15.75" x14ac:dyDescent="0.25">
      <c r="B213" s="6" t="s">
        <v>72</v>
      </c>
      <c r="C213" s="77" t="s">
        <v>228</v>
      </c>
      <c r="D213" s="20" t="s">
        <v>42</v>
      </c>
      <c r="M213" s="34">
        <f t="shared" si="25"/>
        <v>0</v>
      </c>
      <c r="N213" s="47">
        <f t="shared" si="24"/>
        <v>0</v>
      </c>
      <c r="O213" s="34"/>
      <c r="P213" s="34"/>
      <c r="Q213" s="34"/>
      <c r="R213" s="34"/>
      <c r="S213" s="34"/>
      <c r="T213" s="34"/>
      <c r="U213" s="34"/>
      <c r="V213" s="34"/>
      <c r="W213" s="34"/>
    </row>
    <row r="214" spans="2:23" s="9" customFormat="1" ht="15.75" x14ac:dyDescent="0.25">
      <c r="B214" s="6" t="s">
        <v>74</v>
      </c>
      <c r="C214" s="77" t="s">
        <v>229</v>
      </c>
      <c r="D214" s="6" t="s">
        <v>44</v>
      </c>
      <c r="M214" s="34">
        <f t="shared" si="25"/>
        <v>0</v>
      </c>
      <c r="N214" s="47">
        <f t="shared" si="24"/>
        <v>0</v>
      </c>
      <c r="O214" s="34"/>
      <c r="P214" s="34"/>
      <c r="Q214" s="34"/>
      <c r="R214" s="34"/>
      <c r="S214" s="34"/>
      <c r="T214" s="34"/>
      <c r="U214" s="34"/>
      <c r="V214" s="34"/>
      <c r="W214" s="34"/>
    </row>
    <row r="215" spans="2:23" s="9" customFormat="1" ht="15.75" x14ac:dyDescent="0.25">
      <c r="B215" s="6" t="s">
        <v>75</v>
      </c>
      <c r="C215" s="77" t="s">
        <v>230</v>
      </c>
      <c r="D215" s="6" t="s">
        <v>45</v>
      </c>
      <c r="M215" s="34">
        <f t="shared" si="25"/>
        <v>0</v>
      </c>
      <c r="N215" s="47">
        <f t="shared" si="24"/>
        <v>0</v>
      </c>
      <c r="O215" s="34"/>
      <c r="P215" s="34"/>
      <c r="Q215" s="34"/>
      <c r="R215" s="34"/>
      <c r="S215" s="34"/>
      <c r="T215" s="34"/>
      <c r="U215" s="34"/>
      <c r="V215" s="34"/>
      <c r="W215" s="34"/>
    </row>
    <row r="216" spans="2:23" s="9" customFormat="1" ht="15.75" x14ac:dyDescent="0.25">
      <c r="B216" s="6" t="s">
        <v>85</v>
      </c>
      <c r="C216" s="77" t="s">
        <v>231</v>
      </c>
      <c r="M216" s="34">
        <f t="shared" si="25"/>
        <v>0</v>
      </c>
      <c r="N216" s="47">
        <f t="shared" si="24"/>
        <v>0</v>
      </c>
      <c r="O216" s="34"/>
      <c r="P216" s="34"/>
      <c r="Q216" s="34"/>
      <c r="R216" s="34"/>
      <c r="S216" s="34"/>
      <c r="T216" s="34"/>
      <c r="U216" s="34"/>
      <c r="V216" s="34"/>
      <c r="W216" s="34"/>
    </row>
    <row r="217" spans="2:23" s="9" customFormat="1" ht="16.5" thickBot="1" x14ac:dyDescent="0.3">
      <c r="B217" s="8" t="s">
        <v>119</v>
      </c>
      <c r="C217" s="8"/>
      <c r="E217" s="35">
        <f t="shared" ref="E217:N217" si="26">SUM(E180:E216)</f>
        <v>26</v>
      </c>
      <c r="F217" s="35">
        <f t="shared" si="26"/>
        <v>0</v>
      </c>
      <c r="G217" s="35">
        <f t="shared" si="26"/>
        <v>0</v>
      </c>
      <c r="H217" s="35">
        <f t="shared" si="26"/>
        <v>0</v>
      </c>
      <c r="I217" s="35">
        <f t="shared" si="26"/>
        <v>0</v>
      </c>
      <c r="J217" s="35">
        <f t="shared" si="26"/>
        <v>4</v>
      </c>
      <c r="K217" s="35">
        <f t="shared" si="26"/>
        <v>0</v>
      </c>
      <c r="L217" s="35">
        <f t="shared" si="26"/>
        <v>0</v>
      </c>
      <c r="M217" s="35">
        <f t="shared" si="26"/>
        <v>30</v>
      </c>
      <c r="N217" s="58">
        <f t="shared" si="26"/>
        <v>0.99999999999999989</v>
      </c>
      <c r="O217" s="34"/>
      <c r="P217" s="34"/>
      <c r="Q217" s="34"/>
      <c r="R217" s="34"/>
      <c r="S217" s="34"/>
      <c r="T217" s="34"/>
      <c r="U217" s="34"/>
      <c r="V217" s="34"/>
      <c r="W217" s="34"/>
    </row>
    <row r="218" spans="2:23" s="9" customFormat="1" ht="16.5" thickTop="1" x14ac:dyDescent="0.25">
      <c r="B218" s="6"/>
      <c r="C218" s="6"/>
      <c r="E218" s="34"/>
      <c r="F218" s="34"/>
      <c r="G218" s="36"/>
      <c r="H218" s="36" t="s">
        <v>118</v>
      </c>
      <c r="I218" s="34">
        <f>+H217+F217</f>
        <v>0</v>
      </c>
      <c r="J218" s="34"/>
      <c r="K218" s="34"/>
      <c r="L218" s="63" t="s">
        <v>180</v>
      </c>
      <c r="M218" s="34">
        <v>7</v>
      </c>
      <c r="N218" s="10">
        <f>COUNT(E180:L215)</f>
        <v>7</v>
      </c>
      <c r="O218" s="34"/>
      <c r="P218" s="34"/>
      <c r="Q218" s="34"/>
      <c r="R218" s="34"/>
      <c r="S218" s="34"/>
      <c r="T218" s="34"/>
      <c r="U218" s="34"/>
      <c r="V218" s="34"/>
      <c r="W218" s="34"/>
    </row>
    <row r="219" spans="2:23" s="9" customFormat="1" ht="15.75" x14ac:dyDescent="0.25">
      <c r="B219" s="6"/>
      <c r="C219" s="6"/>
      <c r="D219" s="55" t="s">
        <v>177</v>
      </c>
      <c r="E219" s="56">
        <f t="shared" ref="E219:M219" si="27">+E217/$M217</f>
        <v>0.8666666666666667</v>
      </c>
      <c r="F219" s="56">
        <f t="shared" si="27"/>
        <v>0</v>
      </c>
      <c r="G219" s="56">
        <f t="shared" si="27"/>
        <v>0</v>
      </c>
      <c r="H219" s="56">
        <f t="shared" si="27"/>
        <v>0</v>
      </c>
      <c r="I219" s="56">
        <f t="shared" si="27"/>
        <v>0</v>
      </c>
      <c r="J219" s="56">
        <f t="shared" si="27"/>
        <v>0.13333333333333333</v>
      </c>
      <c r="K219" s="56">
        <f t="shared" si="27"/>
        <v>0</v>
      </c>
      <c r="L219" s="56">
        <f t="shared" si="27"/>
        <v>0</v>
      </c>
      <c r="M219" s="56">
        <f t="shared" si="27"/>
        <v>1</v>
      </c>
      <c r="N219" s="34"/>
      <c r="O219" s="34"/>
      <c r="P219" s="34"/>
      <c r="Q219" s="34"/>
      <c r="R219" s="34"/>
      <c r="S219" s="34"/>
      <c r="T219" s="34"/>
      <c r="U219" s="34"/>
      <c r="V219" s="34"/>
      <c r="W219" s="34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Matrices</vt:lpstr>
      <vt:lpstr>Hoards</vt:lpstr>
      <vt:lpstr>Hoard matrices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2016-11-29T11:24:27Z</dcterms:modified>
</cp:coreProperties>
</file>