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24226"/>
  <bookViews>
    <workbookView xWindow="240" yWindow="105" windowWidth="14805" windowHeight="8010"/>
  </bookViews>
  <sheets>
    <sheet name="5.01. Data" sheetId="1" r:id="rId1"/>
    <sheet name="5.02. Correlations" sheetId="2" r:id="rId2"/>
    <sheet name="5.03. Analysis" sheetId="3" r:id="rId3"/>
  </sheets>
  <calcPr calcId="171027"/>
</workbook>
</file>

<file path=xl/calcChain.xml><?xml version="1.0" encoding="utf-8"?>
<calcChain xmlns="http://schemas.openxmlformats.org/spreadsheetml/2006/main">
  <c r="G21" i="3" l="1"/>
  <c r="H21" i="3"/>
  <c r="I21" i="3"/>
  <c r="J21" i="3"/>
  <c r="K21" i="3"/>
  <c r="L21" i="3"/>
  <c r="M21" i="3"/>
  <c r="N21" i="3"/>
  <c r="O21" i="3"/>
  <c r="P21" i="3"/>
  <c r="F21" i="3"/>
  <c r="B21" i="3"/>
  <c r="C21" i="3"/>
  <c r="AH134" i="1" l="1"/>
  <c r="AG128" i="1"/>
  <c r="AI128" i="1"/>
  <c r="AH126" i="1"/>
  <c r="AH107" i="1"/>
  <c r="AH96" i="1"/>
  <c r="AH86" i="1"/>
  <c r="AG86" i="1"/>
  <c r="AG48" i="1"/>
  <c r="AH48" i="1"/>
  <c r="AI48" i="1"/>
  <c r="AG49" i="1"/>
  <c r="AH49" i="1"/>
  <c r="AI49" i="1"/>
  <c r="AG51" i="1"/>
  <c r="AH51" i="1"/>
  <c r="AI51" i="1"/>
  <c r="AG52" i="1"/>
  <c r="AH52" i="1"/>
  <c r="AI52" i="1"/>
  <c r="AG53" i="1"/>
  <c r="AH53" i="1"/>
  <c r="AI53" i="1"/>
  <c r="AG54" i="1"/>
  <c r="AH54" i="1"/>
  <c r="AG55" i="1"/>
  <c r="AH55" i="1"/>
  <c r="AI55" i="1"/>
  <c r="AG56" i="1"/>
  <c r="AH56" i="1"/>
  <c r="AI56" i="1"/>
  <c r="AG57" i="1"/>
  <c r="AH57" i="1"/>
  <c r="AG58" i="1"/>
  <c r="AH58" i="1"/>
  <c r="AI58" i="1"/>
  <c r="AG59" i="1"/>
  <c r="AH59" i="1"/>
  <c r="AI59" i="1"/>
  <c r="AG60" i="1"/>
  <c r="AH60" i="1"/>
  <c r="AG61" i="1"/>
  <c r="AI61" i="1"/>
  <c r="AG62" i="1"/>
  <c r="AI62" i="1"/>
  <c r="AG63" i="1"/>
  <c r="AH63" i="1"/>
  <c r="AI63" i="1"/>
  <c r="AG64" i="1"/>
  <c r="AG65" i="1"/>
  <c r="AH65" i="1"/>
  <c r="AG66" i="1"/>
  <c r="AI66" i="1"/>
  <c r="AG67" i="1"/>
  <c r="AH67" i="1"/>
  <c r="AG69" i="1"/>
  <c r="AI69" i="1"/>
  <c r="AG70" i="1"/>
  <c r="AI31" i="1"/>
  <c r="AI32" i="1"/>
  <c r="AI33" i="1"/>
  <c r="AI34" i="1"/>
  <c r="AI35" i="1"/>
  <c r="AI36" i="1"/>
  <c r="AI38" i="1"/>
  <c r="AG31" i="1"/>
  <c r="AG32" i="1"/>
  <c r="AG33" i="1"/>
  <c r="AG34" i="1"/>
  <c r="AG35" i="1"/>
  <c r="AG36" i="1"/>
  <c r="AG37" i="1"/>
  <c r="AG38" i="1"/>
  <c r="AG39" i="1"/>
  <c r="AH33" i="1"/>
  <c r="AH39" i="1"/>
  <c r="AG6" i="1"/>
  <c r="AH6" i="1"/>
  <c r="AI6" i="1"/>
  <c r="AG7" i="1"/>
  <c r="AH7" i="1"/>
  <c r="AI7" i="1"/>
  <c r="AI8" i="1"/>
  <c r="AG9" i="1"/>
  <c r="AH9" i="1"/>
  <c r="AI9" i="1"/>
  <c r="AG10" i="1"/>
  <c r="AH10" i="1"/>
  <c r="AI10" i="1"/>
  <c r="Q80" i="1"/>
  <c r="Q81" i="1"/>
  <c r="Q82" i="1"/>
  <c r="Q83" i="1"/>
  <c r="R80" i="1"/>
  <c r="R81" i="1"/>
  <c r="R82" i="1"/>
  <c r="R83" i="1"/>
  <c r="P80" i="1"/>
  <c r="P81" i="1"/>
  <c r="P82" i="1"/>
  <c r="P83" i="1"/>
  <c r="S80" i="1"/>
  <c r="S81" i="1"/>
  <c r="S50" i="1"/>
  <c r="S82" i="1"/>
  <c r="T80" i="1"/>
  <c r="T81" i="1"/>
  <c r="T50" i="1"/>
  <c r="U80" i="1"/>
  <c r="U81" i="1"/>
  <c r="U83" i="1" s="1"/>
  <c r="U82" i="1"/>
  <c r="M80" i="1"/>
  <c r="M81" i="1"/>
  <c r="M82" i="1"/>
  <c r="N80" i="1"/>
  <c r="N83" i="1" s="1"/>
  <c r="N81" i="1"/>
  <c r="N82" i="1"/>
  <c r="O80" i="1"/>
  <c r="O83" i="1" s="1"/>
  <c r="O81" i="1"/>
  <c r="O82" i="1"/>
  <c r="L80" i="1"/>
  <c r="L81" i="1"/>
  <c r="AL81" i="1" s="1"/>
  <c r="L82" i="1"/>
  <c r="G80" i="1"/>
  <c r="AK80" i="1" s="1"/>
  <c r="G81" i="1"/>
  <c r="G82" i="1"/>
  <c r="G83" i="1"/>
  <c r="H80" i="1"/>
  <c r="H81" i="1"/>
  <c r="H82" i="1"/>
  <c r="H83" i="1"/>
  <c r="I80" i="1"/>
  <c r="I81" i="1"/>
  <c r="I82" i="1"/>
  <c r="I83" i="1"/>
  <c r="J80" i="1"/>
  <c r="J81" i="1"/>
  <c r="J82" i="1"/>
  <c r="J83" i="1"/>
  <c r="K80" i="1"/>
  <c r="K81" i="1"/>
  <c r="K82" i="1"/>
  <c r="K83" i="1"/>
  <c r="V80" i="1"/>
  <c r="V81" i="1"/>
  <c r="V50" i="1"/>
  <c r="AI50" i="1" s="1"/>
  <c r="W80" i="1"/>
  <c r="W81" i="1"/>
  <c r="W82" i="1"/>
  <c r="X80" i="1"/>
  <c r="X83" i="1" s="1"/>
  <c r="X81" i="1"/>
  <c r="X82" i="1"/>
  <c r="Y80" i="1"/>
  <c r="Y83" i="1" s="1"/>
  <c r="Y81" i="1"/>
  <c r="Y82" i="1"/>
  <c r="Z80" i="1"/>
  <c r="AN80" i="1" s="1"/>
  <c r="Z81" i="1"/>
  <c r="Z82" i="1"/>
  <c r="Z83" i="1"/>
  <c r="AA80" i="1"/>
  <c r="AA81" i="1"/>
  <c r="AA82" i="1"/>
  <c r="AA83" i="1"/>
  <c r="AB80" i="1"/>
  <c r="AB81" i="1"/>
  <c r="AB82" i="1"/>
  <c r="AB83" i="1"/>
  <c r="AC80" i="1"/>
  <c r="AC81" i="1"/>
  <c r="AC82" i="1"/>
  <c r="AC83" i="1"/>
  <c r="AQ82" i="1"/>
  <c r="AK82" i="1"/>
  <c r="AN82" i="1"/>
  <c r="AQ81" i="1"/>
  <c r="AK81" i="1"/>
  <c r="AM81" i="1"/>
  <c r="AN81" i="1"/>
  <c r="AR80" i="1"/>
  <c r="AD48" i="1"/>
  <c r="AD49" i="1"/>
  <c r="AD51" i="1"/>
  <c r="AD55" i="1"/>
  <c r="AD60" i="1"/>
  <c r="AD64" i="1"/>
  <c r="AD66" i="1"/>
  <c r="AD67" i="1"/>
  <c r="AD69" i="1"/>
  <c r="AD70" i="1"/>
  <c r="AD47" i="1"/>
  <c r="AD54" i="1"/>
  <c r="AD56" i="1"/>
  <c r="AD57" i="1"/>
  <c r="AD58" i="1"/>
  <c r="AD59" i="1"/>
  <c r="AD61" i="1"/>
  <c r="AD62" i="1"/>
  <c r="AD63" i="1"/>
  <c r="AD65" i="1"/>
  <c r="AD68" i="1"/>
  <c r="AD52" i="1"/>
  <c r="AD53" i="1"/>
  <c r="B94" i="1"/>
  <c r="B95" i="1"/>
  <c r="B96" i="1" s="1"/>
  <c r="B97" i="1" s="1"/>
  <c r="B98" i="1" s="1"/>
  <c r="F12" i="3"/>
  <c r="E25" i="3" s="1"/>
  <c r="B86" i="1"/>
  <c r="F11" i="3"/>
  <c r="E24" i="3"/>
  <c r="B47" i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/>
  <c r="B63" i="1" s="1"/>
  <c r="B64" i="1" s="1"/>
  <c r="B65" i="1" s="1"/>
  <c r="B66" i="1" s="1"/>
  <c r="B67" i="1" s="1"/>
  <c r="B68" i="1" s="1"/>
  <c r="B69" i="1" s="1"/>
  <c r="B70" i="1" s="1"/>
  <c r="B29" i="1"/>
  <c r="B30" i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F9" i="3" s="1"/>
  <c r="K23" i="3"/>
  <c r="N23" i="3" s="1"/>
  <c r="K24" i="3"/>
  <c r="K25" i="3"/>
  <c r="K22" i="3"/>
  <c r="B105" i="1"/>
  <c r="B106" i="1" s="1"/>
  <c r="B107" i="1" s="1"/>
  <c r="B108" i="1" s="1"/>
  <c r="B109" i="1" s="1"/>
  <c r="B110" i="1" s="1"/>
  <c r="B111" i="1" s="1"/>
  <c r="A30" i="1"/>
  <c r="A31" i="1"/>
  <c r="A32" i="1"/>
  <c r="A33" i="1" s="1"/>
  <c r="A34" i="1" s="1"/>
  <c r="A35" i="1" s="1"/>
  <c r="A36" i="1" s="1"/>
  <c r="A37" i="1" s="1"/>
  <c r="A38" i="1" s="1"/>
  <c r="A39" i="1" s="1"/>
  <c r="A40" i="1" s="1"/>
  <c r="A47" i="1" s="1"/>
  <c r="A48" i="1" s="1"/>
  <c r="AR68" i="1"/>
  <c r="AQ68" i="1"/>
  <c r="AK68" i="1"/>
  <c r="AL68" i="1"/>
  <c r="AO68" i="1" s="1"/>
  <c r="AM68" i="1"/>
  <c r="AN68" i="1"/>
  <c r="AR70" i="1"/>
  <c r="AQ70" i="1"/>
  <c r="AK70" i="1"/>
  <c r="AL70" i="1"/>
  <c r="AM70" i="1"/>
  <c r="AO70" i="1" s="1"/>
  <c r="AN70" i="1"/>
  <c r="AR69" i="1"/>
  <c r="AQ69" i="1"/>
  <c r="AK69" i="1"/>
  <c r="AL69" i="1"/>
  <c r="AM69" i="1"/>
  <c r="AN69" i="1"/>
  <c r="AO69" i="1"/>
  <c r="AR67" i="1"/>
  <c r="AQ67" i="1"/>
  <c r="AK67" i="1"/>
  <c r="AL67" i="1"/>
  <c r="AO67" i="1" s="1"/>
  <c r="AM67" i="1"/>
  <c r="AN67" i="1"/>
  <c r="AG30" i="1"/>
  <c r="AI30" i="1"/>
  <c r="AK30" i="1"/>
  <c r="AL30" i="1"/>
  <c r="AM30" i="1"/>
  <c r="AN30" i="1"/>
  <c r="AQ30" i="1"/>
  <c r="AR30" i="1"/>
  <c r="AK31" i="1"/>
  <c r="AL31" i="1"/>
  <c r="AM31" i="1"/>
  <c r="AN31" i="1"/>
  <c r="AQ31" i="1"/>
  <c r="AR31" i="1"/>
  <c r="AK32" i="1"/>
  <c r="AL32" i="1"/>
  <c r="AM32" i="1"/>
  <c r="AN32" i="1"/>
  <c r="AO32" i="1" s="1"/>
  <c r="AQ32" i="1"/>
  <c r="AR32" i="1"/>
  <c r="AK33" i="1"/>
  <c r="AL33" i="1"/>
  <c r="AM33" i="1"/>
  <c r="AN33" i="1"/>
  <c r="AO33" i="1"/>
  <c r="AQ33" i="1"/>
  <c r="AR33" i="1"/>
  <c r="AK34" i="1"/>
  <c r="AL34" i="1"/>
  <c r="AO34" i="1" s="1"/>
  <c r="AM34" i="1"/>
  <c r="AN34" i="1"/>
  <c r="AQ34" i="1"/>
  <c r="AR34" i="1"/>
  <c r="AK35" i="1"/>
  <c r="AL35" i="1"/>
  <c r="AM35" i="1"/>
  <c r="AO35" i="1" s="1"/>
  <c r="AN35" i="1"/>
  <c r="AQ35" i="1"/>
  <c r="AR35" i="1"/>
  <c r="AK36" i="1"/>
  <c r="AL36" i="1"/>
  <c r="AM36" i="1"/>
  <c r="AN36" i="1"/>
  <c r="AO36" i="1"/>
  <c r="AQ36" i="1"/>
  <c r="AR36" i="1"/>
  <c r="AK37" i="1"/>
  <c r="AL37" i="1"/>
  <c r="AO37" i="1" s="1"/>
  <c r="AM37" i="1"/>
  <c r="AN37" i="1"/>
  <c r="AQ37" i="1"/>
  <c r="AR37" i="1"/>
  <c r="AK38" i="1"/>
  <c r="AL38" i="1"/>
  <c r="AM38" i="1"/>
  <c r="AN38" i="1"/>
  <c r="AQ38" i="1"/>
  <c r="AR38" i="1"/>
  <c r="AK39" i="1"/>
  <c r="AL39" i="1"/>
  <c r="AM39" i="1"/>
  <c r="AN39" i="1"/>
  <c r="AQ39" i="1"/>
  <c r="AR39" i="1"/>
  <c r="AG40" i="1"/>
  <c r="AI40" i="1"/>
  <c r="AK40" i="1"/>
  <c r="AL40" i="1"/>
  <c r="AO40" i="1" s="1"/>
  <c r="AM40" i="1"/>
  <c r="AN40" i="1"/>
  <c r="AQ40" i="1"/>
  <c r="AR40" i="1"/>
  <c r="H41" i="1"/>
  <c r="I41" i="1"/>
  <c r="J41" i="1"/>
  <c r="K41" i="1"/>
  <c r="L41" i="1"/>
  <c r="M41" i="1"/>
  <c r="N41" i="1"/>
  <c r="O41" i="1"/>
  <c r="P41" i="1"/>
  <c r="Q41" i="1"/>
  <c r="R41" i="1"/>
  <c r="AR41" i="1" s="1"/>
  <c r="S41" i="1"/>
  <c r="T41" i="1"/>
  <c r="U41" i="1"/>
  <c r="V41" i="1"/>
  <c r="W41" i="1"/>
  <c r="X41" i="1"/>
  <c r="Y41" i="1"/>
  <c r="Z41" i="1"/>
  <c r="AA41" i="1"/>
  <c r="AB41" i="1"/>
  <c r="AC41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G41" i="1"/>
  <c r="B9" i="3"/>
  <c r="B22" i="3" s="1"/>
  <c r="C9" i="3"/>
  <c r="C22" i="3"/>
  <c r="B10" i="3"/>
  <c r="B23" i="3" s="1"/>
  <c r="C10" i="3"/>
  <c r="C23" i="3"/>
  <c r="B11" i="3"/>
  <c r="B24" i="3" s="1"/>
  <c r="C11" i="3"/>
  <c r="C24" i="3" s="1"/>
  <c r="B12" i="3"/>
  <c r="B25" i="3" s="1"/>
  <c r="C12" i="3"/>
  <c r="C25" i="3" s="1"/>
  <c r="C8" i="3"/>
  <c r="B8" i="3"/>
  <c r="F26" i="3"/>
  <c r="AM66" i="1"/>
  <c r="AK54" i="1"/>
  <c r="AL54" i="1"/>
  <c r="AM54" i="1"/>
  <c r="AN54" i="1"/>
  <c r="AQ54" i="1"/>
  <c r="AR54" i="1"/>
  <c r="AK65" i="1"/>
  <c r="AL65" i="1"/>
  <c r="AM65" i="1"/>
  <c r="AN65" i="1"/>
  <c r="AO65" i="1" s="1"/>
  <c r="AQ65" i="1"/>
  <c r="AR65" i="1"/>
  <c r="B123" i="1"/>
  <c r="B124" i="1" s="1"/>
  <c r="B125" i="1" s="1"/>
  <c r="B126" i="1" s="1"/>
  <c r="B127" i="1" s="1"/>
  <c r="B128" i="1"/>
  <c r="F16" i="3" s="1"/>
  <c r="B16" i="1"/>
  <c r="B17" i="1"/>
  <c r="B18" i="1"/>
  <c r="H26" i="3"/>
  <c r="I26" i="3"/>
  <c r="J26" i="3"/>
  <c r="G26" i="3"/>
  <c r="L24" i="3"/>
  <c r="M24" i="3"/>
  <c r="N24" i="3"/>
  <c r="O24" i="3"/>
  <c r="L25" i="3"/>
  <c r="M25" i="3"/>
  <c r="N25" i="3"/>
  <c r="O25" i="3"/>
  <c r="M22" i="3"/>
  <c r="P24" i="3"/>
  <c r="AR91" i="1"/>
  <c r="AQ91" i="1"/>
  <c r="AK91" i="1"/>
  <c r="AL91" i="1"/>
  <c r="AM91" i="1"/>
  <c r="AO91" i="1" s="1"/>
  <c r="AN91" i="1"/>
  <c r="AI91" i="1"/>
  <c r="AH91" i="1"/>
  <c r="AG91" i="1"/>
  <c r="AD91" i="1"/>
  <c r="AL86" i="1"/>
  <c r="H11" i="3"/>
  <c r="AM86" i="1"/>
  <c r="I11" i="3" s="1"/>
  <c r="AN86" i="1"/>
  <c r="J11" i="3"/>
  <c r="AK86" i="1"/>
  <c r="AK29" i="1"/>
  <c r="AL29" i="1"/>
  <c r="AM29" i="1"/>
  <c r="AN29" i="1"/>
  <c r="AN41" i="1"/>
  <c r="J9" i="3" s="1"/>
  <c r="G71" i="1"/>
  <c r="H71" i="1"/>
  <c r="I71" i="1"/>
  <c r="J71" i="1"/>
  <c r="K71" i="1"/>
  <c r="S71" i="1"/>
  <c r="U71" i="1"/>
  <c r="L71" i="1"/>
  <c r="M71" i="1"/>
  <c r="N71" i="1"/>
  <c r="O71" i="1"/>
  <c r="P71" i="1"/>
  <c r="Q71" i="1"/>
  <c r="R71" i="1"/>
  <c r="V71" i="1"/>
  <c r="W71" i="1"/>
  <c r="Y71" i="1"/>
  <c r="X71" i="1"/>
  <c r="Z71" i="1"/>
  <c r="AA71" i="1"/>
  <c r="AB71" i="1"/>
  <c r="AC71" i="1"/>
  <c r="G99" i="1"/>
  <c r="H99" i="1"/>
  <c r="I99" i="1"/>
  <c r="J99" i="1"/>
  <c r="K99" i="1"/>
  <c r="AK99" i="1"/>
  <c r="G12" i="3" s="1"/>
  <c r="L99" i="1"/>
  <c r="M99" i="1"/>
  <c r="N99" i="1"/>
  <c r="O99" i="1"/>
  <c r="P99" i="1"/>
  <c r="Q99" i="1"/>
  <c r="R99" i="1"/>
  <c r="S99" i="1"/>
  <c r="T99" i="1"/>
  <c r="U99" i="1"/>
  <c r="AL99" i="1"/>
  <c r="H12" i="3" s="1"/>
  <c r="V99" i="1"/>
  <c r="W99" i="1"/>
  <c r="AM99" i="1" s="1"/>
  <c r="I12" i="3" s="1"/>
  <c r="X99" i="1"/>
  <c r="Y99" i="1"/>
  <c r="Z99" i="1"/>
  <c r="AA99" i="1"/>
  <c r="AN99" i="1" s="1"/>
  <c r="J12" i="3" s="1"/>
  <c r="AB99" i="1"/>
  <c r="AC99" i="1"/>
  <c r="AO99" i="1"/>
  <c r="K12" i="3" s="1"/>
  <c r="P12" i="3" s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AM112" i="1" s="1"/>
  <c r="I13" i="3" s="1"/>
  <c r="X112" i="1"/>
  <c r="Y112" i="1"/>
  <c r="Z112" i="1"/>
  <c r="AA112" i="1"/>
  <c r="AB112" i="1"/>
  <c r="AC112" i="1"/>
  <c r="AN112" i="1"/>
  <c r="J13" i="3"/>
  <c r="B13" i="3"/>
  <c r="B22" i="2"/>
  <c r="B18" i="2"/>
  <c r="C15" i="2"/>
  <c r="E15" i="2"/>
  <c r="AI74" i="1"/>
  <c r="F15" i="2"/>
  <c r="AG74" i="1"/>
  <c r="D15" i="2" s="1"/>
  <c r="AH41" i="1"/>
  <c r="E11" i="2" s="1"/>
  <c r="Q119" i="1"/>
  <c r="Q142" i="1" s="1"/>
  <c r="Q24" i="1"/>
  <c r="R119" i="1"/>
  <c r="R24" i="1"/>
  <c r="P119" i="1"/>
  <c r="P24" i="1"/>
  <c r="P142" i="1"/>
  <c r="S119" i="1"/>
  <c r="S24" i="1"/>
  <c r="S142" i="1"/>
  <c r="T119" i="1"/>
  <c r="T24" i="1"/>
  <c r="U119" i="1"/>
  <c r="U24" i="1"/>
  <c r="M119" i="1"/>
  <c r="M24" i="1"/>
  <c r="N119" i="1"/>
  <c r="N24" i="1"/>
  <c r="N142" i="1"/>
  <c r="O119" i="1"/>
  <c r="O24" i="1"/>
  <c r="O142" i="1"/>
  <c r="L119" i="1"/>
  <c r="L24" i="1"/>
  <c r="S135" i="1"/>
  <c r="S141" i="1" s="1"/>
  <c r="S129" i="1"/>
  <c r="S19" i="1"/>
  <c r="U135" i="1"/>
  <c r="U141" i="1" s="1"/>
  <c r="U129" i="1"/>
  <c r="U19" i="1"/>
  <c r="T135" i="1"/>
  <c r="T129" i="1"/>
  <c r="T19" i="1"/>
  <c r="Q135" i="1"/>
  <c r="Q141" i="1" s="1"/>
  <c r="Q129" i="1"/>
  <c r="Q19" i="1"/>
  <c r="R135" i="1"/>
  <c r="R141" i="1" s="1"/>
  <c r="R129" i="1"/>
  <c r="R19" i="1"/>
  <c r="P135" i="1"/>
  <c r="P141" i="1" s="1"/>
  <c r="P129" i="1"/>
  <c r="P19" i="1"/>
  <c r="M135" i="1"/>
  <c r="M129" i="1"/>
  <c r="M19" i="1"/>
  <c r="M141" i="1"/>
  <c r="N135" i="1"/>
  <c r="N129" i="1"/>
  <c r="N19" i="1"/>
  <c r="O135" i="1"/>
  <c r="O129" i="1"/>
  <c r="O19" i="1"/>
  <c r="O141" i="1"/>
  <c r="L135" i="1"/>
  <c r="AH135" i="1" s="1"/>
  <c r="L129" i="1"/>
  <c r="L19" i="1"/>
  <c r="G119" i="1"/>
  <c r="G24" i="1"/>
  <c r="G142" i="1" s="1"/>
  <c r="H119" i="1"/>
  <c r="H24" i="1"/>
  <c r="H142" i="1"/>
  <c r="I119" i="1"/>
  <c r="I142" i="1" s="1"/>
  <c r="I24" i="1"/>
  <c r="J119" i="1"/>
  <c r="J24" i="1"/>
  <c r="K119" i="1"/>
  <c r="K24" i="1"/>
  <c r="K142" i="1"/>
  <c r="V115" i="1"/>
  <c r="AD115" i="1" s="1"/>
  <c r="V119" i="1"/>
  <c r="V142" i="1" s="1"/>
  <c r="V24" i="1"/>
  <c r="W115" i="1"/>
  <c r="W119" i="1"/>
  <c r="W120" i="1" s="1"/>
  <c r="W21" i="1"/>
  <c r="W24" i="1" s="1"/>
  <c r="W25" i="1" s="1"/>
  <c r="W22" i="1"/>
  <c r="W142" i="1"/>
  <c r="X119" i="1"/>
  <c r="X142" i="1" s="1"/>
  <c r="X24" i="1"/>
  <c r="Y119" i="1"/>
  <c r="Y120" i="1" s="1"/>
  <c r="AI120" i="1" s="1"/>
  <c r="F25" i="2" s="1"/>
  <c r="Y21" i="1"/>
  <c r="Y24" i="1" s="1"/>
  <c r="AI24" i="1" s="1"/>
  <c r="F7" i="2" s="1"/>
  <c r="Y22" i="1"/>
  <c r="Z119" i="1"/>
  <c r="Z24" i="1"/>
  <c r="Z142" i="1"/>
  <c r="AA119" i="1"/>
  <c r="AA142" i="1" s="1"/>
  <c r="AA24" i="1"/>
  <c r="AB119" i="1"/>
  <c r="AB24" i="1"/>
  <c r="AC119" i="1"/>
  <c r="AC24" i="1"/>
  <c r="AC142" i="1" s="1"/>
  <c r="G135" i="1"/>
  <c r="G141" i="1" s="1"/>
  <c r="G129" i="1"/>
  <c r="G19" i="1"/>
  <c r="H135" i="1"/>
  <c r="H129" i="1"/>
  <c r="H19" i="1"/>
  <c r="I135" i="1"/>
  <c r="I129" i="1"/>
  <c r="I19" i="1"/>
  <c r="J135" i="1"/>
  <c r="J129" i="1"/>
  <c r="J19" i="1"/>
  <c r="K135" i="1"/>
  <c r="K129" i="1"/>
  <c r="K19" i="1"/>
  <c r="V135" i="1"/>
  <c r="V129" i="1"/>
  <c r="V19" i="1"/>
  <c r="V25" i="1" s="1"/>
  <c r="W135" i="1"/>
  <c r="W129" i="1"/>
  <c r="W19" i="1"/>
  <c r="Y135" i="1"/>
  <c r="Y129" i="1"/>
  <c r="Y19" i="1"/>
  <c r="Y141" i="1" s="1"/>
  <c r="X135" i="1"/>
  <c r="X129" i="1"/>
  <c r="X19" i="1"/>
  <c r="X141" i="1" s="1"/>
  <c r="Z135" i="1"/>
  <c r="Z141" i="1" s="1"/>
  <c r="Z129" i="1"/>
  <c r="Z19" i="1"/>
  <c r="AA135" i="1"/>
  <c r="AA129" i="1"/>
  <c r="AA19" i="1"/>
  <c r="AB135" i="1"/>
  <c r="AB129" i="1"/>
  <c r="AB19" i="1"/>
  <c r="AC135" i="1"/>
  <c r="AC129" i="1"/>
  <c r="AC19" i="1"/>
  <c r="AK88" i="1"/>
  <c r="AL88" i="1"/>
  <c r="AM88" i="1"/>
  <c r="AN88" i="1"/>
  <c r="AO88" i="1" s="1"/>
  <c r="AM89" i="1"/>
  <c r="AL89" i="1"/>
  <c r="AH17" i="1"/>
  <c r="AD116" i="1"/>
  <c r="AD117" i="1"/>
  <c r="AD118" i="1"/>
  <c r="AD88" i="1"/>
  <c r="AD74" i="1"/>
  <c r="AD21" i="1"/>
  <c r="AD22" i="1"/>
  <c r="AD23" i="1"/>
  <c r="AD24" i="1"/>
  <c r="AD16" i="1"/>
  <c r="AD17" i="1"/>
  <c r="AD18" i="1"/>
  <c r="AD19" i="1" s="1"/>
  <c r="AD133" i="1"/>
  <c r="AD134" i="1"/>
  <c r="AD135" i="1" s="1"/>
  <c r="AD123" i="1"/>
  <c r="AD124" i="1"/>
  <c r="AD125" i="1"/>
  <c r="AD129" i="1" s="1"/>
  <c r="AD126" i="1"/>
  <c r="AD127" i="1"/>
  <c r="AD128" i="1"/>
  <c r="AD105" i="1"/>
  <c r="AD106" i="1"/>
  <c r="AD107" i="1"/>
  <c r="AD108" i="1"/>
  <c r="AD112" i="1" s="1"/>
  <c r="AD109" i="1"/>
  <c r="AD110" i="1"/>
  <c r="AD111" i="1"/>
  <c r="AD94" i="1"/>
  <c r="AD99" i="1" s="1"/>
  <c r="AD95" i="1"/>
  <c r="AD96" i="1"/>
  <c r="AD97" i="1"/>
  <c r="AD98" i="1"/>
  <c r="AD86" i="1"/>
  <c r="B133" i="1"/>
  <c r="B134" i="1" s="1"/>
  <c r="B88" i="1"/>
  <c r="B21" i="1"/>
  <c r="B22" i="1" s="1"/>
  <c r="B23" i="1" s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G89" i="1"/>
  <c r="AK19" i="1"/>
  <c r="G8" i="3" s="1"/>
  <c r="AL19" i="1"/>
  <c r="AM19" i="1"/>
  <c r="I8" i="3" s="1"/>
  <c r="AN19" i="1"/>
  <c r="J8" i="3" s="1"/>
  <c r="H8" i="3"/>
  <c r="AK123" i="1"/>
  <c r="AO123" i="1" s="1"/>
  <c r="AK127" i="1"/>
  <c r="AO127" i="1" s="1"/>
  <c r="AK126" i="1"/>
  <c r="AK128" i="1"/>
  <c r="AK125" i="1"/>
  <c r="AO125" i="1" s="1"/>
  <c r="AK124" i="1"/>
  <c r="AL123" i="1"/>
  <c r="AL129" i="1" s="1"/>
  <c r="H16" i="3" s="1"/>
  <c r="AM123" i="1"/>
  <c r="AN123" i="1"/>
  <c r="AL127" i="1"/>
  <c r="AM127" i="1"/>
  <c r="AN127" i="1"/>
  <c r="AL126" i="1"/>
  <c r="AM126" i="1"/>
  <c r="AN126" i="1"/>
  <c r="AL128" i="1"/>
  <c r="AM128" i="1"/>
  <c r="AN128" i="1"/>
  <c r="AL125" i="1"/>
  <c r="AM125" i="1"/>
  <c r="AN125" i="1"/>
  <c r="AL124" i="1"/>
  <c r="AM124" i="1"/>
  <c r="AN124" i="1"/>
  <c r="AN129" i="1"/>
  <c r="J16" i="3" s="1"/>
  <c r="AK10" i="1"/>
  <c r="AL10" i="1"/>
  <c r="AM10" i="1"/>
  <c r="I6" i="3" s="1"/>
  <c r="AN10" i="1"/>
  <c r="H6" i="3"/>
  <c r="J6" i="3"/>
  <c r="C16" i="3"/>
  <c r="C13" i="3"/>
  <c r="AR77" i="1"/>
  <c r="AQ77" i="1"/>
  <c r="M75" i="1"/>
  <c r="N75" i="1"/>
  <c r="O75" i="1"/>
  <c r="L75" i="1"/>
  <c r="AQ75" i="1"/>
  <c r="Q75" i="1"/>
  <c r="R75" i="1"/>
  <c r="P75" i="1"/>
  <c r="S75" i="1"/>
  <c r="U75" i="1"/>
  <c r="AQ43" i="1"/>
  <c r="AR43" i="1"/>
  <c r="AQ24" i="1"/>
  <c r="AR24" i="1"/>
  <c r="M25" i="1"/>
  <c r="AH25" i="1" s="1"/>
  <c r="E8" i="2" s="1"/>
  <c r="N25" i="1"/>
  <c r="O25" i="1"/>
  <c r="L25" i="1"/>
  <c r="AQ25" i="1"/>
  <c r="Q25" i="1"/>
  <c r="AR25" i="1" s="1"/>
  <c r="R25" i="1"/>
  <c r="P25" i="1"/>
  <c r="S25" i="1"/>
  <c r="T25" i="1"/>
  <c r="U25" i="1"/>
  <c r="AR101" i="1"/>
  <c r="AQ101" i="1"/>
  <c r="M120" i="1"/>
  <c r="N120" i="1"/>
  <c r="O120" i="1"/>
  <c r="Q120" i="1"/>
  <c r="S120" i="1"/>
  <c r="U120" i="1"/>
  <c r="AQ129" i="1"/>
  <c r="AR129" i="1"/>
  <c r="AK116" i="1"/>
  <c r="AL116" i="1"/>
  <c r="AM116" i="1"/>
  <c r="AM119" i="1" s="1"/>
  <c r="AM120" i="1" s="1"/>
  <c r="AN116" i="1"/>
  <c r="AN119" i="1" s="1"/>
  <c r="AN120" i="1" s="1"/>
  <c r="AK115" i="1"/>
  <c r="AL115" i="1"/>
  <c r="AO115" i="1" s="1"/>
  <c r="AM115" i="1"/>
  <c r="AN115" i="1"/>
  <c r="AK117" i="1"/>
  <c r="AL117" i="1"/>
  <c r="AM117" i="1"/>
  <c r="AN117" i="1"/>
  <c r="AO117" i="1"/>
  <c r="AK118" i="1"/>
  <c r="AL118" i="1"/>
  <c r="AM118" i="1"/>
  <c r="AN118" i="1"/>
  <c r="AO118" i="1" s="1"/>
  <c r="AL119" i="1"/>
  <c r="AK101" i="1"/>
  <c r="AO101" i="1" s="1"/>
  <c r="AL101" i="1"/>
  <c r="AM101" i="1"/>
  <c r="AN101" i="1"/>
  <c r="G75" i="1"/>
  <c r="H75" i="1"/>
  <c r="I75" i="1"/>
  <c r="J75" i="1"/>
  <c r="K75" i="1"/>
  <c r="V75" i="1"/>
  <c r="X75" i="1"/>
  <c r="Y75" i="1"/>
  <c r="Z75" i="1"/>
  <c r="AB75" i="1"/>
  <c r="AC75" i="1"/>
  <c r="AK77" i="1"/>
  <c r="AL77" i="1"/>
  <c r="AO77" i="1" s="1"/>
  <c r="AM77" i="1"/>
  <c r="AN77" i="1"/>
  <c r="AK43" i="1"/>
  <c r="AL43" i="1"/>
  <c r="AM43" i="1"/>
  <c r="AN43" i="1"/>
  <c r="AO43" i="1"/>
  <c r="AK23" i="1"/>
  <c r="AL23" i="1"/>
  <c r="AM23" i="1"/>
  <c r="AN23" i="1"/>
  <c r="AO23" i="1" s="1"/>
  <c r="AK21" i="1"/>
  <c r="AL21" i="1"/>
  <c r="AM21" i="1"/>
  <c r="AM24" i="1" s="1"/>
  <c r="AM25" i="1" s="1"/>
  <c r="AN21" i="1"/>
  <c r="AK22" i="1"/>
  <c r="AL22" i="1"/>
  <c r="AO22" i="1" s="1"/>
  <c r="AM22" i="1"/>
  <c r="AN22" i="1"/>
  <c r="AN24" i="1"/>
  <c r="AN25" i="1" s="1"/>
  <c r="AK24" i="1"/>
  <c r="AK25" i="1" s="1"/>
  <c r="AI101" i="1"/>
  <c r="AH101" i="1"/>
  <c r="AG101" i="1"/>
  <c r="AD101" i="1"/>
  <c r="AI77" i="1"/>
  <c r="AH77" i="1"/>
  <c r="AG77" i="1"/>
  <c r="AD77" i="1"/>
  <c r="AI43" i="1"/>
  <c r="AH43" i="1"/>
  <c r="AG43" i="1"/>
  <c r="AD43" i="1"/>
  <c r="AH29" i="1"/>
  <c r="AH105" i="1"/>
  <c r="AH88" i="1"/>
  <c r="AH47" i="1"/>
  <c r="AH94" i="1"/>
  <c r="AH95" i="1"/>
  <c r="AH115" i="1"/>
  <c r="AH133" i="1"/>
  <c r="AH16" i="1"/>
  <c r="AH11" i="1"/>
  <c r="AH5" i="1"/>
  <c r="B29" i="2"/>
  <c r="B27" i="2"/>
  <c r="B20" i="2"/>
  <c r="B13" i="2"/>
  <c r="B10" i="2"/>
  <c r="B5" i="2"/>
  <c r="C29" i="2"/>
  <c r="C27" i="2"/>
  <c r="C25" i="2"/>
  <c r="C24" i="2"/>
  <c r="C23" i="2"/>
  <c r="C22" i="2"/>
  <c r="C20" i="2"/>
  <c r="C16" i="2"/>
  <c r="C14" i="2"/>
  <c r="C13" i="2"/>
  <c r="C11" i="2"/>
  <c r="C10" i="2"/>
  <c r="C8" i="2"/>
  <c r="C7" i="2"/>
  <c r="C6" i="2"/>
  <c r="C5" i="2"/>
  <c r="A17" i="1"/>
  <c r="A18" i="1"/>
  <c r="AG17" i="1"/>
  <c r="AI17" i="1"/>
  <c r="AG18" i="1"/>
  <c r="AI18" i="1"/>
  <c r="AG23" i="1"/>
  <c r="AI23" i="1"/>
  <c r="AG21" i="1"/>
  <c r="AI21" i="1"/>
  <c r="AG22" i="1"/>
  <c r="AI22" i="1"/>
  <c r="AG29" i="1"/>
  <c r="AI29" i="1"/>
  <c r="AG105" i="1"/>
  <c r="AI105" i="1"/>
  <c r="AG118" i="1"/>
  <c r="AI118" i="1"/>
  <c r="AG88" i="1"/>
  <c r="AI88" i="1"/>
  <c r="AG47" i="1"/>
  <c r="AI47" i="1"/>
  <c r="AG96" i="1"/>
  <c r="AI96" i="1"/>
  <c r="AG94" i="1"/>
  <c r="AI94" i="1"/>
  <c r="AG98" i="1"/>
  <c r="AI98" i="1"/>
  <c r="AG95" i="1"/>
  <c r="AI95" i="1"/>
  <c r="AG97" i="1"/>
  <c r="AI97" i="1"/>
  <c r="AG107" i="1"/>
  <c r="AI107" i="1"/>
  <c r="AG108" i="1"/>
  <c r="AI108" i="1"/>
  <c r="AG110" i="1"/>
  <c r="AI110" i="1"/>
  <c r="AG109" i="1"/>
  <c r="AI109" i="1"/>
  <c r="AG106" i="1"/>
  <c r="AI106" i="1"/>
  <c r="AG111" i="1"/>
  <c r="AI111" i="1"/>
  <c r="AG116" i="1"/>
  <c r="AI116" i="1"/>
  <c r="AG117" i="1"/>
  <c r="AI117" i="1"/>
  <c r="AG127" i="1"/>
  <c r="AI127" i="1"/>
  <c r="AG126" i="1"/>
  <c r="AI126" i="1"/>
  <c r="AG134" i="1"/>
  <c r="AI134" i="1"/>
  <c r="AG133" i="1"/>
  <c r="AI16" i="1"/>
  <c r="AG16" i="1"/>
  <c r="AH19" i="1"/>
  <c r="E6" i="2" s="1"/>
  <c r="AQ99" i="1"/>
  <c r="H120" i="1"/>
  <c r="K120" i="1"/>
  <c r="AH119" i="1"/>
  <c r="E24" i="2" s="1"/>
  <c r="X120" i="1"/>
  <c r="AA120" i="1"/>
  <c r="AC120" i="1"/>
  <c r="G120" i="1"/>
  <c r="AR74" i="1"/>
  <c r="AQ74" i="1"/>
  <c r="AK74" i="1"/>
  <c r="AL74" i="1"/>
  <c r="AO74" i="1" s="1"/>
  <c r="AM74" i="1"/>
  <c r="AN74" i="1"/>
  <c r="L8" i="1"/>
  <c r="M8" i="1"/>
  <c r="N8" i="1"/>
  <c r="P8" i="1"/>
  <c r="Q8" i="1"/>
  <c r="R8" i="1"/>
  <c r="T8" i="1"/>
  <c r="AR88" i="1"/>
  <c r="AQ88" i="1"/>
  <c r="AR118" i="1"/>
  <c r="AQ118" i="1"/>
  <c r="H25" i="1"/>
  <c r="J25" i="1"/>
  <c r="K25" i="1"/>
  <c r="Z25" i="1"/>
  <c r="AA25" i="1"/>
  <c r="AB25" i="1"/>
  <c r="AR133" i="1"/>
  <c r="AQ133" i="1"/>
  <c r="AR138" i="1"/>
  <c r="AQ138" i="1"/>
  <c r="AR134" i="1"/>
  <c r="AQ134" i="1"/>
  <c r="AR124" i="1"/>
  <c r="AQ124" i="1"/>
  <c r="AR125" i="1"/>
  <c r="AQ125" i="1"/>
  <c r="AR128" i="1"/>
  <c r="AQ128" i="1"/>
  <c r="AR126" i="1"/>
  <c r="AQ126" i="1"/>
  <c r="AR127" i="1"/>
  <c r="AQ127" i="1"/>
  <c r="AR123" i="1"/>
  <c r="AQ123" i="1"/>
  <c r="AR57" i="1"/>
  <c r="AQ57" i="1"/>
  <c r="AR86" i="1"/>
  <c r="AQ86" i="1"/>
  <c r="AR105" i="1"/>
  <c r="AQ105" i="1"/>
  <c r="AR29" i="1"/>
  <c r="AQ29" i="1"/>
  <c r="AR111" i="1"/>
  <c r="AQ111" i="1"/>
  <c r="AR117" i="1"/>
  <c r="AQ117" i="1"/>
  <c r="AR106" i="1"/>
  <c r="AQ106" i="1"/>
  <c r="AR109" i="1"/>
  <c r="AQ109" i="1"/>
  <c r="AR115" i="1"/>
  <c r="AQ115" i="1"/>
  <c r="AR116" i="1"/>
  <c r="AQ116" i="1"/>
  <c r="AR110" i="1"/>
  <c r="AQ110" i="1"/>
  <c r="AR108" i="1"/>
  <c r="AQ108" i="1"/>
  <c r="AR107" i="1"/>
  <c r="AQ107" i="1"/>
  <c r="AR99" i="1"/>
  <c r="AR97" i="1"/>
  <c r="AQ97" i="1"/>
  <c r="AR95" i="1"/>
  <c r="AQ95" i="1"/>
  <c r="AR98" i="1"/>
  <c r="AQ98" i="1"/>
  <c r="AR94" i="1"/>
  <c r="AQ94" i="1"/>
  <c r="AR96" i="1"/>
  <c r="AQ96" i="1"/>
  <c r="AR50" i="1"/>
  <c r="AQ50" i="1"/>
  <c r="AR53" i="1"/>
  <c r="AQ53" i="1"/>
  <c r="AR52" i="1"/>
  <c r="AQ52" i="1"/>
  <c r="AR55" i="1"/>
  <c r="AQ55" i="1"/>
  <c r="AR49" i="1"/>
  <c r="AQ49" i="1"/>
  <c r="AR51" i="1"/>
  <c r="AQ51" i="1"/>
  <c r="AR60" i="1"/>
  <c r="AQ60" i="1"/>
  <c r="AR48" i="1"/>
  <c r="AQ48" i="1"/>
  <c r="AR64" i="1"/>
  <c r="AQ64" i="1"/>
  <c r="AR47" i="1"/>
  <c r="AQ47" i="1"/>
  <c r="AR62" i="1"/>
  <c r="AQ62" i="1"/>
  <c r="AR59" i="1"/>
  <c r="AQ59" i="1"/>
  <c r="AR58" i="1"/>
  <c r="AQ58" i="1"/>
  <c r="AR56" i="1"/>
  <c r="AQ56" i="1"/>
  <c r="AR61" i="1"/>
  <c r="AQ61" i="1"/>
  <c r="AR22" i="1"/>
  <c r="AQ22" i="1"/>
  <c r="AR18" i="1"/>
  <c r="AQ18" i="1"/>
  <c r="AR17" i="1"/>
  <c r="AQ17" i="1"/>
  <c r="AR21" i="1"/>
  <c r="AQ21" i="1"/>
  <c r="AR16" i="1"/>
  <c r="AQ16" i="1"/>
  <c r="AR23" i="1"/>
  <c r="AQ23" i="1"/>
  <c r="AQ6" i="1"/>
  <c r="AR6" i="1"/>
  <c r="AQ7" i="1"/>
  <c r="AR7" i="1"/>
  <c r="AQ9" i="1"/>
  <c r="AR9" i="1"/>
  <c r="AQ10" i="1"/>
  <c r="AR10" i="1"/>
  <c r="AQ11" i="1"/>
  <c r="AR11" i="1"/>
  <c r="AR5" i="1"/>
  <c r="AQ5" i="1"/>
  <c r="AK133" i="1"/>
  <c r="AL133" i="1"/>
  <c r="AM133" i="1"/>
  <c r="AN133" i="1"/>
  <c r="AO133" i="1"/>
  <c r="AK138" i="1"/>
  <c r="AL138" i="1"/>
  <c r="AM138" i="1"/>
  <c r="AN138" i="1"/>
  <c r="AK134" i="1"/>
  <c r="AL134" i="1"/>
  <c r="AM134" i="1"/>
  <c r="AN134" i="1"/>
  <c r="AK57" i="1"/>
  <c r="AL57" i="1"/>
  <c r="AM57" i="1"/>
  <c r="AN57" i="1"/>
  <c r="AK105" i="1"/>
  <c r="AL105" i="1"/>
  <c r="AM105" i="1"/>
  <c r="AN105" i="1"/>
  <c r="AK111" i="1"/>
  <c r="AL111" i="1"/>
  <c r="AO111" i="1" s="1"/>
  <c r="AM111" i="1"/>
  <c r="AN111" i="1"/>
  <c r="AK106" i="1"/>
  <c r="AL106" i="1"/>
  <c r="AM106" i="1"/>
  <c r="AN106" i="1"/>
  <c r="AO106" i="1"/>
  <c r="AK109" i="1"/>
  <c r="AL109" i="1"/>
  <c r="AM109" i="1"/>
  <c r="AN109" i="1"/>
  <c r="AK110" i="1"/>
  <c r="AL110" i="1"/>
  <c r="AM110" i="1"/>
  <c r="AN110" i="1"/>
  <c r="AK108" i="1"/>
  <c r="AL108" i="1"/>
  <c r="AO108" i="1" s="1"/>
  <c r="AM108" i="1"/>
  <c r="AN108" i="1"/>
  <c r="AK107" i="1"/>
  <c r="AL107" i="1"/>
  <c r="AM107" i="1"/>
  <c r="AN107" i="1"/>
  <c r="AO107" i="1"/>
  <c r="AK97" i="1"/>
  <c r="AL97" i="1"/>
  <c r="AM97" i="1"/>
  <c r="AO97" i="1" s="1"/>
  <c r="AN97" i="1"/>
  <c r="AK95" i="1"/>
  <c r="AL95" i="1"/>
  <c r="AM95" i="1"/>
  <c r="AN95" i="1"/>
  <c r="AK98" i="1"/>
  <c r="AL98" i="1"/>
  <c r="AO98" i="1" s="1"/>
  <c r="AM98" i="1"/>
  <c r="AN98" i="1"/>
  <c r="AK94" i="1"/>
  <c r="AL94" i="1"/>
  <c r="AO94" i="1" s="1"/>
  <c r="AM94" i="1"/>
  <c r="AN94" i="1"/>
  <c r="AK96" i="1"/>
  <c r="AL96" i="1"/>
  <c r="AO96" i="1" s="1"/>
  <c r="AM96" i="1"/>
  <c r="AN96" i="1"/>
  <c r="AK50" i="1"/>
  <c r="AL50" i="1"/>
  <c r="AM50" i="1"/>
  <c r="AN50" i="1"/>
  <c r="AO50" i="1"/>
  <c r="AK53" i="1"/>
  <c r="AL53" i="1"/>
  <c r="AM53" i="1"/>
  <c r="AN53" i="1"/>
  <c r="AK52" i="1"/>
  <c r="AL52" i="1"/>
  <c r="AO52" i="1" s="1"/>
  <c r="AM52" i="1"/>
  <c r="AN52" i="1"/>
  <c r="AK55" i="1"/>
  <c r="AL55" i="1"/>
  <c r="AO55" i="1" s="1"/>
  <c r="AM55" i="1"/>
  <c r="AN55" i="1"/>
  <c r="AK49" i="1"/>
  <c r="AL49" i="1"/>
  <c r="AO49" i="1" s="1"/>
  <c r="AM49" i="1"/>
  <c r="AN49" i="1"/>
  <c r="AK51" i="1"/>
  <c r="AL51" i="1"/>
  <c r="AM51" i="1"/>
  <c r="AN51" i="1"/>
  <c r="AK60" i="1"/>
  <c r="AL60" i="1"/>
  <c r="AM60" i="1"/>
  <c r="AN60" i="1"/>
  <c r="AK48" i="1"/>
  <c r="AL48" i="1"/>
  <c r="AO48" i="1" s="1"/>
  <c r="AM48" i="1"/>
  <c r="AN48" i="1"/>
  <c r="AK64" i="1"/>
  <c r="AL64" i="1"/>
  <c r="AO64" i="1" s="1"/>
  <c r="AM64" i="1"/>
  <c r="AN64" i="1"/>
  <c r="AK47" i="1"/>
  <c r="AL47" i="1"/>
  <c r="AO47" i="1" s="1"/>
  <c r="AM47" i="1"/>
  <c r="AN47" i="1"/>
  <c r="AK62" i="1"/>
  <c r="AO62" i="1" s="1"/>
  <c r="AL62" i="1"/>
  <c r="AM62" i="1"/>
  <c r="AN62" i="1"/>
  <c r="AK59" i="1"/>
  <c r="AO59" i="1" s="1"/>
  <c r="AL59" i="1"/>
  <c r="AM59" i="1"/>
  <c r="AN59" i="1"/>
  <c r="AK58" i="1"/>
  <c r="AL58" i="1"/>
  <c r="AM58" i="1"/>
  <c r="AN58" i="1"/>
  <c r="AK56" i="1"/>
  <c r="AL56" i="1"/>
  <c r="AM56" i="1"/>
  <c r="AN56" i="1"/>
  <c r="AK61" i="1"/>
  <c r="AL61" i="1"/>
  <c r="AM61" i="1"/>
  <c r="AN61" i="1"/>
  <c r="AK63" i="1"/>
  <c r="AO63" i="1" s="1"/>
  <c r="AL63" i="1"/>
  <c r="AM63" i="1"/>
  <c r="AN63" i="1"/>
  <c r="AK18" i="1"/>
  <c r="AO18" i="1" s="1"/>
  <c r="AL18" i="1"/>
  <c r="AM18" i="1"/>
  <c r="AN18" i="1"/>
  <c r="AK17" i="1"/>
  <c r="AL17" i="1"/>
  <c r="AM17" i="1"/>
  <c r="AN17" i="1"/>
  <c r="AK16" i="1"/>
  <c r="AL16" i="1"/>
  <c r="AM16" i="1"/>
  <c r="AN16" i="1"/>
  <c r="AK6" i="1"/>
  <c r="AL6" i="1"/>
  <c r="AM6" i="1"/>
  <c r="AN6" i="1"/>
  <c r="AK7" i="1"/>
  <c r="AL7" i="1"/>
  <c r="AM7" i="1"/>
  <c r="AN7" i="1"/>
  <c r="H8" i="1"/>
  <c r="AD8" i="1" s="1"/>
  <c r="J8" i="1"/>
  <c r="AM8" i="1"/>
  <c r="AN8" i="1"/>
  <c r="AK9" i="1"/>
  <c r="AO9" i="1" s="1"/>
  <c r="AL9" i="1"/>
  <c r="AM9" i="1"/>
  <c r="AN9" i="1"/>
  <c r="AK11" i="1"/>
  <c r="AO11" i="1" s="1"/>
  <c r="AL11" i="1"/>
  <c r="AM11" i="1"/>
  <c r="AN11" i="1"/>
  <c r="AK5" i="1"/>
  <c r="AL5" i="1"/>
  <c r="AM5" i="1"/>
  <c r="AN5" i="1"/>
  <c r="AD11" i="1"/>
  <c r="AI11" i="1"/>
  <c r="AG11" i="1"/>
  <c r="AI5" i="1"/>
  <c r="AG5" i="1"/>
  <c r="AD10" i="1"/>
  <c r="AD9" i="1"/>
  <c r="AD7" i="1"/>
  <c r="AD6" i="1"/>
  <c r="AD5" i="1"/>
  <c r="AQ19" i="1"/>
  <c r="B138" i="1"/>
  <c r="AG99" i="1"/>
  <c r="D20" i="2" s="1"/>
  <c r="AI99" i="1"/>
  <c r="F20" i="2"/>
  <c r="AI129" i="1"/>
  <c r="F27" i="2" s="1"/>
  <c r="AI112" i="1"/>
  <c r="F23" i="2" s="1"/>
  <c r="AO61" i="1"/>
  <c r="AO56" i="1"/>
  <c r="AK8" i="1"/>
  <c r="AO58" i="1"/>
  <c r="E7" i="2"/>
  <c r="AH99" i="1"/>
  <c r="E20" i="2"/>
  <c r="AG115" i="1"/>
  <c r="AI115" i="1"/>
  <c r="AG19" i="1"/>
  <c r="D6" i="2" s="1"/>
  <c r="G25" i="1"/>
  <c r="I25" i="1"/>
  <c r="AG24" i="1"/>
  <c r="D7" i="2" s="1"/>
  <c r="AR19" i="1"/>
  <c r="AO51" i="1"/>
  <c r="Z120" i="1"/>
  <c r="AQ71" i="1"/>
  <c r="AO7" i="1"/>
  <c r="AO57" i="1"/>
  <c r="AO105" i="1"/>
  <c r="AD25" i="1"/>
  <c r="AO5" i="1"/>
  <c r="AO6" i="1"/>
  <c r="V120" i="1"/>
  <c r="AI119" i="1"/>
  <c r="F24" i="2"/>
  <c r="AD139" i="1"/>
  <c r="AL135" i="1"/>
  <c r="AM135" i="1"/>
  <c r="AN135" i="1"/>
  <c r="AG135" i="1"/>
  <c r="L139" i="1"/>
  <c r="AR135" i="1"/>
  <c r="Q139" i="1"/>
  <c r="U139" i="1"/>
  <c r="Z139" i="1"/>
  <c r="M139" i="1"/>
  <c r="AQ135" i="1"/>
  <c r="AB139" i="1"/>
  <c r="AI135" i="1"/>
  <c r="V139" i="1"/>
  <c r="AI139" i="1" s="1"/>
  <c r="F29" i="2" s="1"/>
  <c r="P139" i="1"/>
  <c r="T139" i="1"/>
  <c r="X139" i="1"/>
  <c r="H139" i="1"/>
  <c r="AA139" i="1"/>
  <c r="AC139" i="1"/>
  <c r="J139" i="1"/>
  <c r="O139" i="1"/>
  <c r="N139" i="1"/>
  <c r="R139" i="1"/>
  <c r="Y139" i="1"/>
  <c r="W139" i="1"/>
  <c r="S139" i="1"/>
  <c r="I139" i="1"/>
  <c r="AR89" i="1"/>
  <c r="AQ89" i="1"/>
  <c r="AI89" i="1"/>
  <c r="F18" i="2" s="1"/>
  <c r="AH89" i="1"/>
  <c r="E18" i="2"/>
  <c r="AG89" i="1"/>
  <c r="D18" i="2" s="1"/>
  <c r="AI41" i="1"/>
  <c r="F11" i="2" s="1"/>
  <c r="P25" i="3" l="1"/>
  <c r="M23" i="3"/>
  <c r="L23" i="3"/>
  <c r="AQ120" i="1"/>
  <c r="AL8" i="1"/>
  <c r="AO8" i="1" s="1"/>
  <c r="AQ8" i="1"/>
  <c r="K139" i="1"/>
  <c r="K141" i="1"/>
  <c r="AK112" i="1"/>
  <c r="I120" i="1"/>
  <c r="L12" i="3"/>
  <c r="F10" i="3"/>
  <c r="E23" i="3" s="1"/>
  <c r="B74" i="1"/>
  <c r="AO109" i="1"/>
  <c r="H141" i="1"/>
  <c r="AK141" i="1" s="1"/>
  <c r="L142" i="1"/>
  <c r="AG119" i="1"/>
  <c r="D24" i="2" s="1"/>
  <c r="L120" i="1"/>
  <c r="AL112" i="1"/>
  <c r="H13" i="3" s="1"/>
  <c r="AQ112" i="1"/>
  <c r="L141" i="1"/>
  <c r="AG112" i="1"/>
  <c r="D23" i="2" s="1"/>
  <c r="M12" i="3"/>
  <c r="AO86" i="1"/>
  <c r="G11" i="3"/>
  <c r="AK89" i="1"/>
  <c r="AD81" i="1"/>
  <c r="AH112" i="1"/>
  <c r="E23" i="2" s="1"/>
  <c r="AO17" i="1"/>
  <c r="AO110" i="1"/>
  <c r="AO138" i="1"/>
  <c r="AO116" i="1"/>
  <c r="AO119" i="1" s="1"/>
  <c r="G6" i="3"/>
  <c r="AO10" i="1"/>
  <c r="K6" i="3" s="1"/>
  <c r="P6" i="3" s="1"/>
  <c r="AO128" i="1"/>
  <c r="AM129" i="1"/>
  <c r="I16" i="3" s="1"/>
  <c r="AN89" i="1"/>
  <c r="AB141" i="1"/>
  <c r="I141" i="1"/>
  <c r="Y142" i="1"/>
  <c r="AM142" i="1" s="1"/>
  <c r="AA75" i="1"/>
  <c r="AN75" i="1" s="1"/>
  <c r="AN71" i="1"/>
  <c r="J10" i="3" s="1"/>
  <c r="AM71" i="1"/>
  <c r="I10" i="3" s="1"/>
  <c r="AI71" i="1"/>
  <c r="F14" i="2" s="1"/>
  <c r="W141" i="1"/>
  <c r="W75" i="1"/>
  <c r="AI75" i="1" s="1"/>
  <c r="F16" i="2" s="1"/>
  <c r="AL71" i="1"/>
  <c r="H10" i="3" s="1"/>
  <c r="AM41" i="1"/>
  <c r="I9" i="3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4" i="1" s="1"/>
  <c r="A86" i="1" s="1"/>
  <c r="A88" i="1" s="1"/>
  <c r="A94" i="1" s="1"/>
  <c r="A95" i="1" s="1"/>
  <c r="A96" i="1" s="1"/>
  <c r="A97" i="1" s="1"/>
  <c r="A98" i="1" s="1"/>
  <c r="A105" i="1" s="1"/>
  <c r="A106" i="1" s="1"/>
  <c r="A107" i="1" s="1"/>
  <c r="A108" i="1" s="1"/>
  <c r="A109" i="1" s="1"/>
  <c r="A110" i="1" s="1"/>
  <c r="A111" i="1" s="1"/>
  <c r="A115" i="1" s="1"/>
  <c r="A116" i="1" s="1"/>
  <c r="A117" i="1" s="1"/>
  <c r="A118" i="1" s="1"/>
  <c r="A123" i="1" s="1"/>
  <c r="A124" i="1" s="1"/>
  <c r="A125" i="1" s="1"/>
  <c r="A126" i="1" s="1"/>
  <c r="A127" i="1" s="1"/>
  <c r="A128" i="1" s="1"/>
  <c r="A133" i="1" s="1"/>
  <c r="A134" i="1" s="1"/>
  <c r="A138" i="1" s="1"/>
  <c r="A49" i="1"/>
  <c r="A50" i="1" s="1"/>
  <c r="A51" i="1" s="1"/>
  <c r="E22" i="3"/>
  <c r="AG80" i="1"/>
  <c r="L83" i="1"/>
  <c r="AH80" i="1"/>
  <c r="AL80" i="1"/>
  <c r="S83" i="1"/>
  <c r="N6" i="3"/>
  <c r="AK129" i="1"/>
  <c r="G16" i="3" s="1"/>
  <c r="AO124" i="1"/>
  <c r="AO129" i="1" s="1"/>
  <c r="K16" i="3" s="1"/>
  <c r="AB142" i="1"/>
  <c r="AB120" i="1"/>
  <c r="J142" i="1"/>
  <c r="AK142" i="1" s="1"/>
  <c r="J120" i="1"/>
  <c r="AH139" i="1"/>
  <c r="AG139" i="1"/>
  <c r="AO60" i="1"/>
  <c r="AO95" i="1"/>
  <c r="AR8" i="1"/>
  <c r="AO21" i="1"/>
  <c r="AO24" i="1" s="1"/>
  <c r="AA141" i="1"/>
  <c r="AN141" i="1" s="1"/>
  <c r="M142" i="1"/>
  <c r="AQ119" i="1"/>
  <c r="T142" i="1"/>
  <c r="T120" i="1"/>
  <c r="R142" i="1"/>
  <c r="R120" i="1"/>
  <c r="AR120" i="1" s="1"/>
  <c r="AR119" i="1"/>
  <c r="P120" i="1"/>
  <c r="AR112" i="1"/>
  <c r="B115" i="1"/>
  <c r="B116" i="1" s="1"/>
  <c r="B117" i="1" s="1"/>
  <c r="B118" i="1" s="1"/>
  <c r="F13" i="3"/>
  <c r="G139" i="1"/>
  <c r="AK135" i="1"/>
  <c r="AO135" i="1" s="1"/>
  <c r="AI19" i="1"/>
  <c r="F6" i="2" s="1"/>
  <c r="Y25" i="1"/>
  <c r="AO16" i="1"/>
  <c r="AO53" i="1"/>
  <c r="AO134" i="1"/>
  <c r="AC25" i="1"/>
  <c r="X25" i="1"/>
  <c r="AG25" i="1" s="1"/>
  <c r="D8" i="2" s="1"/>
  <c r="AK75" i="1"/>
  <c r="AK119" i="1"/>
  <c r="AK120" i="1" s="1"/>
  <c r="AO126" i="1"/>
  <c r="AC141" i="1"/>
  <c r="J141" i="1"/>
  <c r="AN142" i="1"/>
  <c r="AD119" i="1"/>
  <c r="O12" i="3"/>
  <c r="N12" i="3"/>
  <c r="V141" i="1"/>
  <c r="AG41" i="1"/>
  <c r="D11" i="2" s="1"/>
  <c r="AQ41" i="1"/>
  <c r="N141" i="1"/>
  <c r="AN83" i="1"/>
  <c r="AH8" i="1"/>
  <c r="AQ141" i="1"/>
  <c r="AL41" i="1"/>
  <c r="H9" i="3" s="1"/>
  <c r="AO38" i="1"/>
  <c r="AO30" i="1"/>
  <c r="O22" i="3"/>
  <c r="K26" i="3"/>
  <c r="L26" i="3" s="1"/>
  <c r="L22" i="3"/>
  <c r="AD80" i="1"/>
  <c r="AG81" i="1"/>
  <c r="W83" i="1"/>
  <c r="AM80" i="1"/>
  <c r="AO80" i="1" s="1"/>
  <c r="AK83" i="1"/>
  <c r="AQ80" i="1"/>
  <c r="M83" i="1"/>
  <c r="AQ83" i="1" s="1"/>
  <c r="AD50" i="1"/>
  <c r="AD82" i="1" s="1"/>
  <c r="T71" i="1"/>
  <c r="AH71" i="1" s="1"/>
  <c r="E14" i="2" s="1"/>
  <c r="T82" i="1"/>
  <c r="T83" i="1" s="1"/>
  <c r="AR83" i="1" s="1"/>
  <c r="AH50" i="1"/>
  <c r="AG50" i="1"/>
  <c r="AL24" i="1"/>
  <c r="AL25" i="1" s="1"/>
  <c r="AO19" i="1"/>
  <c r="K8" i="3" s="1"/>
  <c r="L8" i="3" s="1"/>
  <c r="U142" i="1"/>
  <c r="AR142" i="1"/>
  <c r="AK41" i="1"/>
  <c r="G9" i="3" s="1"/>
  <c r="AO29" i="1"/>
  <c r="N22" i="3"/>
  <c r="AO54" i="1"/>
  <c r="AO39" i="1"/>
  <c r="AO31" i="1"/>
  <c r="AI80" i="1"/>
  <c r="AR81" i="1"/>
  <c r="AG71" i="1"/>
  <c r="D14" i="2" s="1"/>
  <c r="AK71" i="1"/>
  <c r="AI81" i="1"/>
  <c r="AO81" i="1"/>
  <c r="AG8" i="1"/>
  <c r="AH81" i="1"/>
  <c r="O23" i="3"/>
  <c r="P23" i="3" s="1"/>
  <c r="V82" i="1"/>
  <c r="N26" i="3" l="1"/>
  <c r="O8" i="3"/>
  <c r="P22" i="3"/>
  <c r="F14" i="3"/>
  <c r="P16" i="3"/>
  <c r="M16" i="3"/>
  <c r="O16" i="3"/>
  <c r="AM82" i="1"/>
  <c r="AI82" i="1"/>
  <c r="AM141" i="1"/>
  <c r="AI141" i="1"/>
  <c r="K11" i="3"/>
  <c r="AO89" i="1"/>
  <c r="AG142" i="1"/>
  <c r="AL142" i="1"/>
  <c r="AO142" i="1" s="1"/>
  <c r="AH142" i="1"/>
  <c r="M26" i="3"/>
  <c r="P26" i="3"/>
  <c r="O26" i="3"/>
  <c r="N8" i="3"/>
  <c r="AH82" i="1"/>
  <c r="AL83" i="1"/>
  <c r="AH83" i="1"/>
  <c r="J14" i="3"/>
  <c r="L6" i="3"/>
  <c r="AG82" i="1"/>
  <c r="V83" i="1"/>
  <c r="AG83" i="1" s="1"/>
  <c r="P8" i="3"/>
  <c r="M8" i="3"/>
  <c r="H14" i="3"/>
  <c r="AQ142" i="1"/>
  <c r="AO25" i="1"/>
  <c r="AL82" i="1"/>
  <c r="AO82" i="1" s="1"/>
  <c r="AR82" i="1"/>
  <c r="AI142" i="1"/>
  <c r="AI25" i="1"/>
  <c r="F8" i="2" s="1"/>
  <c r="N16" i="3"/>
  <c r="M6" i="3"/>
  <c r="AH120" i="1"/>
  <c r="E25" i="2" s="1"/>
  <c r="AG120" i="1"/>
  <c r="D25" i="2" s="1"/>
  <c r="O6" i="3"/>
  <c r="AO112" i="1"/>
  <c r="K13" i="3" s="1"/>
  <c r="M13" i="3" s="1"/>
  <c r="G13" i="3"/>
  <c r="L13" i="3" s="1"/>
  <c r="AM75" i="1"/>
  <c r="AD142" i="1"/>
  <c r="AD120" i="1"/>
  <c r="M10" i="3"/>
  <c r="AO41" i="1"/>
  <c r="K9" i="3" s="1"/>
  <c r="G10" i="3"/>
  <c r="AO71" i="1"/>
  <c r="K10" i="3" s="1"/>
  <c r="P10" i="3" s="1"/>
  <c r="L9" i="3"/>
  <c r="T75" i="1"/>
  <c r="AR71" i="1"/>
  <c r="AD83" i="1"/>
  <c r="T141" i="1"/>
  <c r="AR141" i="1" s="1"/>
  <c r="L16" i="3"/>
  <c r="N9" i="3"/>
  <c r="I14" i="3"/>
  <c r="AD71" i="1"/>
  <c r="AL141" i="1"/>
  <c r="AO141" i="1" s="1"/>
  <c r="AH141" i="1"/>
  <c r="AG141" i="1"/>
  <c r="AL120" i="1"/>
  <c r="P11" i="3" l="1"/>
  <c r="N11" i="3"/>
  <c r="M11" i="3"/>
  <c r="O11" i="3"/>
  <c r="P13" i="3"/>
  <c r="N13" i="3"/>
  <c r="O13" i="3"/>
  <c r="N10" i="3"/>
  <c r="AD75" i="1"/>
  <c r="AD141" i="1"/>
  <c r="AG75" i="1"/>
  <c r="D16" i="2" s="1"/>
  <c r="AR75" i="1"/>
  <c r="AL75" i="1"/>
  <c r="AO75" i="1" s="1"/>
  <c r="AH75" i="1"/>
  <c r="E16" i="2" s="1"/>
  <c r="L10" i="3"/>
  <c r="M14" i="3"/>
  <c r="AI83" i="1"/>
  <c r="AM83" i="1"/>
  <c r="AO83" i="1" s="1"/>
  <c r="O14" i="3"/>
  <c r="AO120" i="1"/>
  <c r="L11" i="3"/>
  <c r="N14" i="3"/>
  <c r="G14" i="3"/>
  <c r="L14" i="3" s="1"/>
  <c r="P9" i="3"/>
  <c r="K14" i="3"/>
  <c r="P14" i="3" s="1"/>
  <c r="O9" i="3"/>
  <c r="M9" i="3"/>
  <c r="O10" i="3"/>
</calcChain>
</file>

<file path=xl/comments1.xml><?xml version="1.0" encoding="utf-8"?>
<comments xmlns="http://schemas.openxmlformats.org/spreadsheetml/2006/main">
  <authors>
    <author>Author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Source: thesis database apart from Hexham: Pirie 1987. 
Other exceptions in last column.</t>
        </r>
      </text>
    </comment>
    <comment ref="AF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 brackets: number of coins from source.</t>
        </r>
      </text>
    </comment>
    <comment ref="AQ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Ratio of Southumbrian+Continental to all primary
</t>
        </r>
      </text>
    </comment>
    <comment ref="AR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Ratio of Southumbrian+Continental to all primary
</t>
        </r>
      </text>
    </comment>
    <comment ref="V2" authorId="0" shapeId="0">
      <text>
        <r>
          <rPr>
            <b/>
            <sz val="9"/>
            <color indexed="81"/>
            <rFont val="Tahoma"/>
            <family val="2"/>
          </rPr>
          <t xml:space="preserve">Tony:
N9 Monetarii
Æthelheah
Æthelweard
Cuthheard
Cynewulf
Dægberht
Eadwine
Herreth
Hwætred
Tidwine
Wilheah
Wulfheard
</t>
        </r>
      </text>
    </comment>
    <comment ref="AC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S7 Sceats of Beonna &amp; Offa
S8 Broad penny, 2nd half C8th
S9 Broad penny, C9th</t>
        </r>
      </text>
    </comment>
    <comment ref="AE2" authorId="0" shapeId="0">
      <text>
        <r>
          <rPr>
            <b/>
            <u/>
            <sz val="9"/>
            <color indexed="81"/>
            <rFont val="Tahoma"/>
            <family val="2"/>
          </rPr>
          <t>Tony:</t>
        </r>
        <r>
          <rPr>
            <u/>
            <sz val="9"/>
            <color indexed="81"/>
            <rFont val="Tahoma"/>
            <family val="2"/>
          </rPr>
          <t xml:space="preserve">
Index of Issuers and Moneyers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u/>
            <sz val="9"/>
            <color indexed="81"/>
            <rFont val="Tahoma"/>
            <family val="2"/>
          </rPr>
          <t>Monarchs</t>
        </r>
        <r>
          <rPr>
            <sz val="9"/>
            <color indexed="81"/>
            <rFont val="Tahoma"/>
            <family val="2"/>
          </rPr>
          <t xml:space="preserve">
1. Ælfwald II                       806-808
2. Eanred                           810-841 (total reign)
3. Æthelred II, first reign,      841-843/4
4. Redwulf    usurpation,        843/4
5. Æthelred II   second reign  843/4-849/50
6. Osberht                          849/50-867
</t>
        </r>
        <r>
          <rPr>
            <u/>
            <sz val="9"/>
            <color indexed="81"/>
            <rFont val="Tahoma"/>
            <family val="2"/>
          </rPr>
          <t>Archbishops</t>
        </r>
        <r>
          <rPr>
            <sz val="9"/>
            <color indexed="81"/>
            <rFont val="Tahoma"/>
            <family val="2"/>
          </rPr>
          <t xml:space="preserve">
A. Abp. Eanbald II                796-835? (total tenure)
B. Abp. Wigmund                 837-849/50
C. Abp. Wulfhere                 849/50-900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Coins with Northumbrian provenance but not in CKN, EMC, SCBI 1-50 or PAS.
These are included in the tables Site Finds by Issuer.</t>
        </r>
      </text>
    </comment>
    <comment ref="AA1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Not Carolingian but solidus of Beneventum</t>
        </r>
      </text>
    </comment>
    <comment ref="AC1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Beonna lead trial piece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 xml:space="preserve">Tony: </t>
        </r>
        <r>
          <rPr>
            <sz val="9"/>
            <color indexed="81"/>
            <rFont val="Tahoma"/>
            <family val="2"/>
          </rPr>
          <t xml:space="preserve">See Table 39:
Aldwark, 21-33
Bedern Chapel
Blake Street, 9
Clementhorpe
Clifford Street?
Clifford's Tower
Coppergate, 16-22
Ebor Brewery
Minster
Old County Hospital
Rougier Street, 5
Skeldergate, 58-9
Tanner Row
Trentholme Drive
Walmgate
</t>
        </r>
      </text>
    </comment>
    <comment ref="AA17" authorId="0" shapeId="0">
      <text>
        <r>
          <rPr>
            <b/>
            <sz val="9"/>
            <color indexed="81"/>
            <rFont val="Tahoma"/>
            <family val="2"/>
          </rPr>
          <t xml:space="preserve">Tony:
</t>
        </r>
        <r>
          <rPr>
            <sz val="9"/>
            <color indexed="81"/>
            <rFont val="Tahoma"/>
            <family val="2"/>
          </rPr>
          <t>Ecgbert of Wessex, Minster 14</t>
        </r>
        <r>
          <rPr>
            <sz val="9"/>
            <color indexed="81"/>
            <rFont val="Tahoma"/>
            <family val="2"/>
          </rPr>
          <t xml:space="preserve">
A hoard of 100 coins, many Carolingian, from Coney Street in c. 1760 included coins of Lothare II, 840-55.
Metcalf (1957), p. 199-201.</t>
        </r>
      </text>
    </comment>
    <comment ref="AC1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Dnier of Charles the Bald, Minster 15.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Sites described as 'York', 'near York' or 'York productive site'. See Table 40.</t>
        </r>
      </text>
    </comment>
    <comment ref="M2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Not part of hoard.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Bootham coin hoard, 1831 held at Stonyhurst College, Lancashire.</t>
        </r>
      </text>
    </comment>
    <comment ref="Q3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Beonna: lead trial piece. AIJA.</t>
        </r>
      </text>
    </comment>
    <comment ref="U3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Eardwulf by Cuthheart</t>
        </r>
      </text>
    </comment>
    <comment ref="Q5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Q1G. 
Exotic species include fleeing biped variety.</t>
        </r>
      </text>
    </comment>
    <comment ref="T5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an Aethelwold Moll with Aethelred regal joint issue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Mounted Lombardic tremissis in name of Maurice Tiberius - James Booth</t>
        </r>
      </text>
    </comment>
    <comment ref="T51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Æthelwald Moll and Archbishop Ecgberht</t>
        </r>
      </text>
    </comment>
    <comment ref="U5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Eardwulf by Cuthheart</t>
        </r>
      </text>
    </comment>
    <comment ref="X52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AIJA collection</t>
        </r>
      </text>
    </comment>
    <comment ref="U5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Including first found sceat of Eardwulf</t>
        </r>
      </text>
    </comment>
    <comment ref="U5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AIJA</t>
        </r>
      </text>
    </comment>
    <comment ref="M58" authorId="0" shape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PAS duplicates the entries for the Series Z find.</t>
        </r>
      </text>
    </comment>
    <comment ref="X59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AIJA. Osberht.</t>
        </r>
      </text>
    </comment>
    <comment ref="Q6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R&amp;M record 8 sceats:
period 5a: BIIIB/J (3),
period 5b: K, R (2).
period 5c: G (2).
Add to period 5b:
</t>
        </r>
        <r>
          <rPr>
            <i/>
            <sz val="9"/>
            <color indexed="81"/>
            <rFont val="Tahoma"/>
            <family val="2"/>
          </rPr>
          <t>SEDE SL</t>
        </r>
        <r>
          <rPr>
            <sz val="9"/>
            <color indexed="81"/>
            <rFont val="Tahoma"/>
            <family val="2"/>
          </rPr>
          <t>93-10
Q mule 67-25</t>
        </r>
      </text>
    </comment>
    <comment ref="U60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AIJA</t>
        </r>
      </text>
    </comment>
    <comment ref="F8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23 stycas in purse hoard at Lurk Lane included below.</t>
        </r>
      </text>
    </comment>
    <comment ref="T8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an Æthelwald Moll with Ecgberht</t>
        </r>
      </text>
    </comment>
    <comment ref="F8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23 stycas in purse hoard at Lurk Lane.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Malton, near, site 1: Binnington
</t>
        </r>
      </text>
    </comment>
    <comment ref="F105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22 stycas in purse hoard - see below.
Also included two coins from the 1993-2014 excavations.</t>
        </r>
      </text>
    </comment>
    <comment ref="Q105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unique Series H mule, EMC 1988.90915.</t>
        </r>
      </text>
    </comment>
    <comment ref="W10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17 of which from the 'purse hoard'.</t>
        </r>
      </text>
    </comment>
    <comment ref="Y10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All from the 'purse hoard'?</t>
        </r>
      </text>
    </comment>
    <comment ref="AC107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Includes sceat of Beonna of East Anglia by Efe.</t>
        </r>
      </text>
    </comment>
    <comment ref="Q10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Series Q1G, </t>
        </r>
        <r>
          <rPr>
            <i/>
            <sz val="9"/>
            <color indexed="81"/>
            <rFont val="Tahoma"/>
            <family val="2"/>
          </rPr>
          <t>SL</t>
        </r>
        <r>
          <rPr>
            <sz val="9"/>
            <color indexed="81"/>
            <rFont val="Tahoma"/>
            <family val="2"/>
          </rPr>
          <t>63-100</t>
        </r>
      </text>
    </comment>
    <comment ref="F11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22 stycas in purse hoard.</t>
        </r>
      </text>
    </comment>
    <comment ref="W11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17 from purse hoard.</t>
        </r>
      </text>
    </comment>
    <comment ref="Y11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5 from purse hoard.</t>
        </r>
      </text>
    </comment>
    <comment ref="G1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All but two are late Roman copper coins. There is no evidence that these are sub-Roman.</t>
        </r>
      </text>
    </comment>
    <comment ref="H123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Byzantine copper decanummium.</t>
        </r>
      </text>
    </comment>
    <comment ref="H12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4 Byzantine copper nummi.</t>
        </r>
      </text>
    </comment>
    <comment ref="Q124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Note exotic types:
2010.0252 hen
2011.0141 Fleeing biped
2011.0142 Q pantokrator</t>
        </r>
      </text>
    </comment>
    <comment ref="R12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including the J72 assumed to be from Quentovic</t>
        </r>
      </text>
    </comment>
    <comment ref="AA126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Denier of Pepin the Short</t>
        </r>
      </text>
    </comment>
    <comment ref="C128" authorId="0" shapeId="0">
      <text>
        <r>
          <rPr>
            <b/>
            <sz val="9"/>
            <color indexed="81"/>
            <rFont val="Tahoma"/>
            <family val="2"/>
          </rPr>
          <t>Tony:</t>
        </r>
        <r>
          <rPr>
            <sz val="9"/>
            <color indexed="81"/>
            <rFont val="Tahoma"/>
            <family val="2"/>
          </rPr>
          <t xml:space="preserve">
Bull Wharf, Leicester Square, Thames (Lambert)</t>
        </r>
      </text>
    </comment>
  </commentList>
</comments>
</file>

<file path=xl/sharedStrings.xml><?xml version="1.0" encoding="utf-8"?>
<sst xmlns="http://schemas.openxmlformats.org/spreadsheetml/2006/main" count="571" uniqueCount="348">
  <si>
    <t>N8</t>
  </si>
  <si>
    <t>N9</t>
  </si>
  <si>
    <t>Period-&gt;</t>
  </si>
  <si>
    <t>Aberlady</t>
  </si>
  <si>
    <t>Burton Fleming</t>
  </si>
  <si>
    <t>Cottam</t>
  </si>
  <si>
    <t>Flixborough</t>
  </si>
  <si>
    <t>Lindisfarne</t>
  </si>
  <si>
    <t>Ripon</t>
  </si>
  <si>
    <t>Ryther</t>
  </si>
  <si>
    <t>West Heslerton</t>
  </si>
  <si>
    <t>Whitby</t>
  </si>
  <si>
    <t>Bamburgh</t>
  </si>
  <si>
    <t>Carlisle</t>
  </si>
  <si>
    <t>Hexham</t>
  </si>
  <si>
    <t>London</t>
  </si>
  <si>
    <t>South Newbald</t>
  </si>
  <si>
    <t>Thwing</t>
  </si>
  <si>
    <t>Sub-Roman coinage</t>
  </si>
  <si>
    <t>Post-Roman coinage</t>
  </si>
  <si>
    <t>Imported Merovingian gold</t>
  </si>
  <si>
    <t>Anglo-Saxon gold shilling</t>
  </si>
  <si>
    <t>Southumbrian pale gold shilling</t>
  </si>
  <si>
    <t>Merovingian silver denier</t>
  </si>
  <si>
    <t>Secondary Southumbrian sceats</t>
  </si>
  <si>
    <t>Imported secondary Continental sceats</t>
  </si>
  <si>
    <t>Putative secondary Northumbrian sceats</t>
  </si>
  <si>
    <t xml:space="preserve">Joint issues </t>
  </si>
  <si>
    <t>Inscriptional reverse sceats</t>
  </si>
  <si>
    <t>brass</t>
  </si>
  <si>
    <t>bronze</t>
  </si>
  <si>
    <t>Primary Northumbria</t>
  </si>
  <si>
    <t>Primary Southumbria</t>
  </si>
  <si>
    <t>blundered or illegible</t>
  </si>
  <si>
    <t>1,C</t>
  </si>
  <si>
    <t>1,4</t>
  </si>
  <si>
    <t>S</t>
  </si>
  <si>
    <t>1,4,A,C</t>
  </si>
  <si>
    <t>1,4,6,A</t>
  </si>
  <si>
    <t>1,4,A</t>
  </si>
  <si>
    <t>1,4,6,A,C</t>
  </si>
  <si>
    <t>1,6,A,C</t>
  </si>
  <si>
    <t>1,6,C</t>
  </si>
  <si>
    <t>1,4,A-C</t>
  </si>
  <si>
    <t>1-3,5-6,A-C</t>
  </si>
  <si>
    <t>4,A</t>
  </si>
  <si>
    <t>1,4,6,A-C</t>
  </si>
  <si>
    <t>Later northern broad penny C8-9th</t>
  </si>
  <si>
    <t>1,6,A-C</t>
  </si>
  <si>
    <t>Fishergate</t>
  </si>
  <si>
    <t>Wharram Percy</t>
  </si>
  <si>
    <t>Hamwic</t>
  </si>
  <si>
    <t>Rendlesham</t>
  </si>
  <si>
    <t>Ipswich</t>
  </si>
  <si>
    <t>1,3-6,A,C</t>
  </si>
  <si>
    <t>Sledmere</t>
  </si>
  <si>
    <t>Bonser 2012</t>
  </si>
  <si>
    <t>1,4,6</t>
  </si>
  <si>
    <t>1,A</t>
  </si>
  <si>
    <t>County</t>
  </si>
  <si>
    <t>EL</t>
  </si>
  <si>
    <t>NY</t>
  </si>
  <si>
    <t>EY</t>
  </si>
  <si>
    <t>Cu</t>
  </si>
  <si>
    <t>D&amp;G</t>
  </si>
  <si>
    <t>T&amp;W</t>
  </si>
  <si>
    <t>N'a</t>
  </si>
  <si>
    <t>NL</t>
  </si>
  <si>
    <t>Ha</t>
  </si>
  <si>
    <t>Su</t>
  </si>
  <si>
    <t>Lo</t>
  </si>
  <si>
    <t>Li</t>
  </si>
  <si>
    <t>Y</t>
  </si>
  <si>
    <t>St Leonard's Place</t>
  </si>
  <si>
    <t>All</t>
  </si>
  <si>
    <t>Kirkoswald</t>
  </si>
  <si>
    <t>Newcastle, Black Gate</t>
  </si>
  <si>
    <t>1842</t>
  </si>
  <si>
    <t>1831</t>
  </si>
  <si>
    <t>1832</t>
  </si>
  <si>
    <t>1808</t>
  </si>
  <si>
    <t>Ummayad &amp; Abbasid dirhams</t>
  </si>
  <si>
    <t>Carolingian</t>
  </si>
  <si>
    <t>Imported Primary  Continental sceats</t>
  </si>
  <si>
    <t>S=Singletons / Hoard date</t>
  </si>
  <si>
    <t>Totals</t>
  </si>
  <si>
    <t xml:space="preserve"> Key</t>
  </si>
  <si>
    <t>H?</t>
  </si>
  <si>
    <t>Fr</t>
  </si>
  <si>
    <t>1-6,A,C</t>
  </si>
  <si>
    <t>North Ferriby</t>
  </si>
  <si>
    <t>Kilham</t>
  </si>
  <si>
    <t>Cowlam</t>
  </si>
  <si>
    <t>3a</t>
  </si>
  <si>
    <t>3b</t>
  </si>
  <si>
    <t>3c</t>
  </si>
  <si>
    <t>4a</t>
  </si>
  <si>
    <t>4b</t>
  </si>
  <si>
    <t>4c</t>
  </si>
  <si>
    <t>4d</t>
  </si>
  <si>
    <t>5c</t>
  </si>
  <si>
    <t>5b</t>
  </si>
  <si>
    <t>N6</t>
  </si>
  <si>
    <t>N7</t>
  </si>
  <si>
    <t>N10a</t>
  </si>
  <si>
    <t>N10b</t>
  </si>
  <si>
    <t>N10c</t>
  </si>
  <si>
    <t>N11</t>
  </si>
  <si>
    <t>S7-9</t>
  </si>
  <si>
    <t>5a</t>
  </si>
  <si>
    <t>Ribe</t>
  </si>
  <si>
    <t>All hoards</t>
  </si>
  <si>
    <t>Northern Database</t>
  </si>
  <si>
    <t>All provenanced incl. hoards</t>
  </si>
  <si>
    <t>No provenance, not hoard</t>
  </si>
  <si>
    <t>S&amp;H</t>
  </si>
  <si>
    <t>H</t>
  </si>
  <si>
    <t>A. Summary</t>
  </si>
  <si>
    <t>B. Analysis</t>
  </si>
  <si>
    <t>Not hoard</t>
  </si>
  <si>
    <t>Bolton Percy, Ulleskelf</t>
  </si>
  <si>
    <t>Garton-on-the-Wolds</t>
  </si>
  <si>
    <t>1,2,4-6,A-C</t>
  </si>
  <si>
    <t>Littleborough</t>
  </si>
  <si>
    <t>Malton</t>
  </si>
  <si>
    <t>Driffield</t>
  </si>
  <si>
    <t>Pocklington</t>
  </si>
  <si>
    <t>Staxton</t>
  </si>
  <si>
    <t>Barmby Moor</t>
  </si>
  <si>
    <t>Yapham</t>
  </si>
  <si>
    <t>Hayton</t>
  </si>
  <si>
    <t>Sherburn</t>
  </si>
  <si>
    <t>Skirpenbeck</t>
  </si>
  <si>
    <t>No</t>
  </si>
  <si>
    <t>Whithorn</t>
  </si>
  <si>
    <t>1,2,A-C</t>
  </si>
  <si>
    <t>1,4,6,B-C</t>
  </si>
  <si>
    <t>Y(/La)</t>
  </si>
  <si>
    <t>SE777489</t>
  </si>
  <si>
    <t>TA035399</t>
  </si>
  <si>
    <t>OS Grid reference</t>
  </si>
  <si>
    <t>SE518401</t>
  </si>
  <si>
    <t>TA083722</t>
  </si>
  <si>
    <t>SE994646</t>
  </si>
  <si>
    <t>SE965655</t>
  </si>
  <si>
    <t>TA023577</t>
  </si>
  <si>
    <t>SE983594</t>
  </si>
  <si>
    <t>SE819457</t>
  </si>
  <si>
    <t>TA0664</t>
  </si>
  <si>
    <t>SE802486</t>
  </si>
  <si>
    <t>TA049701</t>
  </si>
  <si>
    <t>SE746570</t>
  </si>
  <si>
    <t>SE932648</t>
  </si>
  <si>
    <t>SE911358</t>
  </si>
  <si>
    <t>SE858646</t>
  </si>
  <si>
    <t>SE788520</t>
  </si>
  <si>
    <t>SE788722</t>
  </si>
  <si>
    <t>SE958770</t>
  </si>
  <si>
    <t>TA015795</t>
  </si>
  <si>
    <t>SE911759</t>
  </si>
  <si>
    <t>NT465798</t>
  </si>
  <si>
    <t>NU1734</t>
  </si>
  <si>
    <t>NY395555</t>
  </si>
  <si>
    <t>NY9363</t>
  </si>
  <si>
    <t>NY355541</t>
  </si>
  <si>
    <t>NU129420</t>
  </si>
  <si>
    <t>NZ249645</t>
  </si>
  <si>
    <t>NX445405</t>
  </si>
  <si>
    <t>SE985258</t>
  </si>
  <si>
    <t>SE312714</t>
  </si>
  <si>
    <t>SE548392</t>
  </si>
  <si>
    <t>NZ893109</t>
  </si>
  <si>
    <t>SE871150</t>
  </si>
  <si>
    <t>SK824825</t>
  </si>
  <si>
    <t>SU421114</t>
  </si>
  <si>
    <t>TM162448</t>
  </si>
  <si>
    <t>TM335535</t>
  </si>
  <si>
    <t>SK837786</t>
  </si>
  <si>
    <t>Étaples (Quentovic)?</t>
  </si>
  <si>
    <t>Later southern broad pennies C8-9th</t>
  </si>
  <si>
    <t>Beverley (Lurk Lane, 30)</t>
  </si>
  <si>
    <t>1847 &amp; 1967</t>
  </si>
  <si>
    <t>1999 &amp; 2002</t>
  </si>
  <si>
    <t>Additional sources</t>
  </si>
  <si>
    <t>Styca issuers absent</t>
  </si>
  <si>
    <t>4a-N10c</t>
  </si>
  <si>
    <t>N9-10c</t>
  </si>
  <si>
    <t>A</t>
  </si>
  <si>
    <t>B</t>
  </si>
  <si>
    <t>C</t>
  </si>
  <si>
    <t>D</t>
  </si>
  <si>
    <t>E</t>
  </si>
  <si>
    <t>F</t>
  </si>
  <si>
    <t>'Stonyhurst', St Mary's</t>
  </si>
  <si>
    <t>G</t>
  </si>
  <si>
    <t>Abramson additions</t>
  </si>
  <si>
    <t>Abramson (1)</t>
  </si>
  <si>
    <t>EMC, Booth (1), Abramson (8)</t>
  </si>
  <si>
    <t>Dm</t>
  </si>
  <si>
    <t>Abramson (103)</t>
  </si>
  <si>
    <t>Pirie 1994 (322)</t>
  </si>
  <si>
    <t>Pirie archive (25)</t>
  </si>
  <si>
    <t>Pirie 1982a (522)</t>
  </si>
  <si>
    <t>Pirie 1987 (782)</t>
  </si>
  <si>
    <t>Pirie 2004 (240) , EMC (4)</t>
  </si>
  <si>
    <t>EMC (13)</t>
  </si>
  <si>
    <t>Archibald, 2009 (41)</t>
  </si>
  <si>
    <t>www.cgb.fr</t>
  </si>
  <si>
    <t>Pirie, 1995 &amp; 2000 (44)</t>
  </si>
  <si>
    <t>Bayles (29), Abramson (4)</t>
  </si>
  <si>
    <t>EMC (4), R&amp;M (8), Abramson (1)</t>
  </si>
  <si>
    <t>Abramson (4)</t>
  </si>
  <si>
    <t>Pirie (3), Abramson (1)</t>
  </si>
  <si>
    <t xml:space="preserve">silver-alloy emissions </t>
  </si>
  <si>
    <t>Binnington</t>
  </si>
  <si>
    <t>SE998790</t>
  </si>
  <si>
    <t>Haldenby</t>
  </si>
  <si>
    <t>Everingham</t>
  </si>
  <si>
    <t>SE817420</t>
  </si>
  <si>
    <t>Abramson (2)</t>
  </si>
  <si>
    <t>Gold</t>
  </si>
  <si>
    <t>Silver</t>
  </si>
  <si>
    <t>Silver-alloy &amp; Copper</t>
  </si>
  <si>
    <t>Other</t>
  </si>
  <si>
    <t>1-3c</t>
  </si>
  <si>
    <t>4a-N8</t>
  </si>
  <si>
    <t>N9-N10c</t>
  </si>
  <si>
    <t xml:space="preserve">Imported primary </t>
  </si>
  <si>
    <t xml:space="preserve">Imported secondary </t>
  </si>
  <si>
    <t>A. Single Finds</t>
  </si>
  <si>
    <t>Total Singles</t>
  </si>
  <si>
    <t>Total York</t>
  </si>
  <si>
    <t>Total Hoards</t>
  </si>
  <si>
    <t>York &amp; environs</t>
  </si>
  <si>
    <t>Yorkshire Wolds</t>
  </si>
  <si>
    <t>Vale of Pickering</t>
  </si>
  <si>
    <t>Bernicia &amp; the North</t>
  </si>
  <si>
    <t>Southumbria</t>
  </si>
  <si>
    <t>Other ‘Productive Sites'</t>
  </si>
  <si>
    <t xml:space="preserve">S </t>
  </si>
  <si>
    <t>1924</t>
  </si>
  <si>
    <t>1979-82</t>
  </si>
  <si>
    <t xml:space="preserve">Beverley </t>
  </si>
  <si>
    <t>2007</t>
  </si>
  <si>
    <t>Total Wolds</t>
  </si>
  <si>
    <t>Total Vale of Pickering</t>
  </si>
  <si>
    <t>Total Bernicia</t>
  </si>
  <si>
    <t>Total Southumbria</t>
  </si>
  <si>
    <t>Total Other</t>
  </si>
  <si>
    <t>?</t>
  </si>
  <si>
    <t>4,A,C</t>
  </si>
  <si>
    <t>Correlation to 'C. All hoard'</t>
  </si>
  <si>
    <t>Correlation to 'F. Provenanced, not hoard'</t>
  </si>
  <si>
    <t>Provenanced, not hoard</t>
  </si>
  <si>
    <t>Region</t>
  </si>
  <si>
    <t>Sceats</t>
  </si>
  <si>
    <t>Stycas</t>
  </si>
  <si>
    <t>Period</t>
  </si>
  <si>
    <t>F. Provenanced, not hoard</t>
  </si>
  <si>
    <t>Single Finds</t>
  </si>
  <si>
    <t>Central Lowlands</t>
  </si>
  <si>
    <t>Total Beverley</t>
  </si>
  <si>
    <t>Total Central Lowlands</t>
  </si>
  <si>
    <t>Total Single Finds</t>
  </si>
  <si>
    <t>Total Hoard Coins</t>
  </si>
  <si>
    <t>B. Hoard Coins</t>
  </si>
  <si>
    <t>to 'C'</t>
  </si>
  <si>
    <t>to 'F'</t>
  </si>
  <si>
    <t>%</t>
  </si>
  <si>
    <t>Bolton</t>
  </si>
  <si>
    <t>Market Weighton</t>
  </si>
  <si>
    <t>2,3,6,A,C</t>
  </si>
  <si>
    <t>2,4,6,A-C</t>
  </si>
  <si>
    <t>Spofforth</t>
  </si>
  <si>
    <t>Hackforth</t>
  </si>
  <si>
    <t>Carthorpe</t>
  </si>
  <si>
    <t>North Elmsall</t>
  </si>
  <si>
    <t>Stamford Bridge</t>
  </si>
  <si>
    <t>Wetherby</t>
  </si>
  <si>
    <t>Sheriff Hutton</t>
  </si>
  <si>
    <t>Tickhill</t>
  </si>
  <si>
    <t>Towton</t>
  </si>
  <si>
    <t>SE879417</t>
  </si>
  <si>
    <t>SE772522</t>
  </si>
  <si>
    <t>3,4,A-C</t>
  </si>
  <si>
    <t>4,A-C</t>
  </si>
  <si>
    <t>4,6,A-C</t>
  </si>
  <si>
    <t>4,6,B,C</t>
  </si>
  <si>
    <t>SE364510</t>
  </si>
  <si>
    <t>SE243934</t>
  </si>
  <si>
    <t>SE309838</t>
  </si>
  <si>
    <t>SE4960713634</t>
  </si>
  <si>
    <t>WY</t>
  </si>
  <si>
    <t>ER</t>
  </si>
  <si>
    <t>SE710550</t>
  </si>
  <si>
    <t>SE404481</t>
  </si>
  <si>
    <t>SE652664</t>
  </si>
  <si>
    <t>SE529577</t>
  </si>
  <si>
    <t>Beningbrough</t>
  </si>
  <si>
    <t>SK592931</t>
  </si>
  <si>
    <t>SY</t>
  </si>
  <si>
    <t>SE485395</t>
  </si>
  <si>
    <t>Other sites: inner (26)</t>
  </si>
  <si>
    <t xml:space="preserve">                        outer   (6)</t>
  </si>
  <si>
    <t>East Lutton</t>
  </si>
  <si>
    <t>Wetwang</t>
  </si>
  <si>
    <t>Fangfoss</t>
  </si>
  <si>
    <t>Weaverthorpe</t>
  </si>
  <si>
    <t>Fimber</t>
  </si>
  <si>
    <t>1,2,4,6,A-C</t>
  </si>
  <si>
    <t>1-6,A-C</t>
  </si>
  <si>
    <t>1,2,6,A-C</t>
  </si>
  <si>
    <t>SE941696</t>
  </si>
  <si>
    <t>SE932590</t>
  </si>
  <si>
    <t>SE965708</t>
  </si>
  <si>
    <t>SE895606</t>
  </si>
  <si>
    <t>SE765532</t>
  </si>
  <si>
    <t>Min. finds for inclusion</t>
  </si>
  <si>
    <t>No. of Sites</t>
  </si>
  <si>
    <t>A.</t>
  </si>
  <si>
    <t>B.</t>
  </si>
  <si>
    <t>Other periods</t>
  </si>
  <si>
    <t>Percentage of sites 'small'</t>
  </si>
  <si>
    <t>Wolds west</t>
  </si>
  <si>
    <t>Wolds central</t>
  </si>
  <si>
    <t>Wolds east</t>
  </si>
  <si>
    <t>Ww</t>
  </si>
  <si>
    <t>We</t>
  </si>
  <si>
    <t>Wc</t>
  </si>
  <si>
    <t>Wolds Analysis</t>
  </si>
  <si>
    <r>
      <rPr>
        <i/>
        <sz val="12"/>
        <color theme="1"/>
        <rFont val="Times New Roman"/>
        <family val="1"/>
      </rPr>
      <t>Criteria for inclusion</t>
    </r>
    <r>
      <rPr>
        <sz val="12"/>
        <color theme="1"/>
        <rFont val="Times New Roman"/>
        <family val="1"/>
      </rPr>
      <t>: number of finds &gt; 4 (except York &amp; environs, where all sites included).</t>
    </r>
  </si>
  <si>
    <r>
      <rPr>
        <i/>
        <sz val="12"/>
        <color theme="1"/>
        <rFont val="Times New Roman"/>
        <family val="1"/>
      </rPr>
      <t>Criteria for inclusion</t>
    </r>
    <r>
      <rPr>
        <sz val="12"/>
        <color theme="1"/>
        <rFont val="Times New Roman"/>
        <family val="1"/>
      </rPr>
      <t>: number of finds &gt; 1.</t>
    </r>
  </si>
  <si>
    <r>
      <t>Site finds by Period:</t>
    </r>
    <r>
      <rPr>
        <sz val="11"/>
        <color theme="1"/>
        <rFont val="Times New Roman"/>
        <family val="1"/>
      </rPr>
      <t xml:space="preserve">         Coin-rich sites &amp; Hoards        as at December 2014</t>
    </r>
  </si>
  <si>
    <r>
      <t xml:space="preserve">Eadberht’s </t>
    </r>
    <r>
      <rPr>
        <i/>
        <u/>
        <sz val="11"/>
        <color rgb="FF000000"/>
        <rFont val="Times New Roman"/>
        <family val="1"/>
      </rPr>
      <t>renovatio</t>
    </r>
  </si>
  <si>
    <r>
      <t>NB: Central Lowlands (</t>
    </r>
    <r>
      <rPr>
        <b/>
        <i/>
        <sz val="11"/>
        <color rgb="FFFF0000"/>
        <rFont val="Times New Roman"/>
        <family val="1"/>
      </rPr>
      <t>Table 4</t>
    </r>
    <r>
      <rPr>
        <b/>
        <sz val="11"/>
        <color rgb="FFFF0000"/>
        <rFont val="Times New Roman"/>
        <family val="1"/>
      </rPr>
      <t>7)</t>
    </r>
  </si>
  <si>
    <r>
      <t>NB: Yorks. Wolds (</t>
    </r>
    <r>
      <rPr>
        <b/>
        <i/>
        <sz val="11"/>
        <color rgb="FFFF0000"/>
        <rFont val="Times New Roman"/>
        <family val="1"/>
      </rPr>
      <t>Table 54</t>
    </r>
    <r>
      <rPr>
        <b/>
        <sz val="11"/>
        <color rgb="FFFF0000"/>
        <rFont val="Times New Roman"/>
        <family val="1"/>
      </rPr>
      <t>)</t>
    </r>
  </si>
  <si>
    <r>
      <t>NB: Beverley</t>
    </r>
    <r>
      <rPr>
        <b/>
        <i/>
        <sz val="11"/>
        <color rgb="FFFF0000"/>
        <rFont val="Times New Roman"/>
        <family val="1"/>
      </rPr>
      <t xml:space="preserve"> (Table 73)</t>
    </r>
  </si>
  <si>
    <r>
      <t>NB: V. Pickering (</t>
    </r>
    <r>
      <rPr>
        <b/>
        <i/>
        <sz val="11"/>
        <color rgb="FFFF0000"/>
        <rFont val="Times New Roman"/>
        <family val="1"/>
      </rPr>
      <t>Table 65</t>
    </r>
    <r>
      <rPr>
        <b/>
        <sz val="11"/>
        <color rgb="FFFF0000"/>
        <rFont val="Times New Roman"/>
        <family val="1"/>
      </rPr>
      <t>)</t>
    </r>
  </si>
  <si>
    <r>
      <t>Feveile,</t>
    </r>
    <r>
      <rPr>
        <i/>
        <sz val="11"/>
        <rFont val="Times New Roman"/>
        <family val="1"/>
      </rPr>
      <t xml:space="preserve"> SiEMC1</t>
    </r>
  </si>
  <si>
    <r>
      <rPr>
        <i/>
        <sz val="11"/>
        <color theme="1"/>
        <rFont val="Times New Roman"/>
        <family val="1"/>
      </rPr>
      <t>Micel Here:</t>
    </r>
    <r>
      <rPr>
        <sz val="11"/>
        <color theme="1"/>
        <rFont val="Times New Roman"/>
        <family val="1"/>
      </rPr>
      <t xml:space="preserve"> Torksey</t>
    </r>
  </si>
  <si>
    <t>Dataset 5.01</t>
  </si>
  <si>
    <r>
      <rPr>
        <i/>
        <sz val="12"/>
        <color theme="1"/>
        <rFont val="Times New Roman"/>
        <family val="1"/>
      </rPr>
      <t xml:space="preserve">Database 1 </t>
    </r>
    <r>
      <rPr>
        <sz val="12"/>
        <color theme="1"/>
        <rFont val="Times New Roman"/>
        <family val="1"/>
      </rPr>
      <t>plus informal sources.</t>
    </r>
  </si>
  <si>
    <t>Sources:</t>
  </si>
  <si>
    <r>
      <rPr>
        <b/>
        <i/>
        <u/>
        <sz val="12"/>
        <color theme="1"/>
        <rFont val="Times New Roman"/>
        <family val="1"/>
      </rPr>
      <t>Table 5.03:</t>
    </r>
    <r>
      <rPr>
        <b/>
        <u/>
        <sz val="12"/>
        <color theme="1"/>
        <rFont val="Times New Roman"/>
        <family val="1"/>
      </rPr>
      <t xml:space="preserve"> Chronological Analysis</t>
    </r>
  </si>
  <si>
    <t>Dataset</t>
  </si>
  <si>
    <t>Dataset 7.17</t>
  </si>
  <si>
    <t>Source:</t>
  </si>
  <si>
    <r>
      <rPr>
        <b/>
        <i/>
        <u/>
        <sz val="12"/>
        <color theme="1"/>
        <rFont val="Times New Roman"/>
        <family val="1"/>
      </rPr>
      <t>Table 5.02</t>
    </r>
    <r>
      <rPr>
        <b/>
        <u/>
        <sz val="12"/>
        <color theme="1"/>
        <rFont val="Times New Roman"/>
        <family val="1"/>
      </rPr>
      <t>: Correlations to Normal Distribution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</si>
</sst>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0.0%"/>
  </numFmts>
  <fonts count="3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u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 val="singleAccounting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u/>
      <sz val="11"/>
      <name val="Times New Roman"/>
      <family val="1"/>
    </font>
    <font>
      <b/>
      <u val="singleAccounting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2"/>
      <name val="Times New Roman"/>
      <family val="1"/>
    </font>
    <font>
      <u/>
      <sz val="11"/>
      <color rgb="FF000000"/>
      <name val="Times New Roman"/>
      <family val="1"/>
    </font>
    <font>
      <i/>
      <u/>
      <sz val="11"/>
      <color rgb="FF000000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14">
    <xf numFmtId="0" fontId="0" fillId="0" borderId="0" xfId="0"/>
    <xf numFmtId="0" fontId="10" fillId="0" borderId="0" xfId="0" applyFont="1"/>
    <xf numFmtId="0" fontId="10" fillId="0" borderId="0" xfId="0" applyFont="1" applyBorder="1"/>
    <xf numFmtId="0" fontId="12" fillId="0" borderId="0" xfId="0" applyFont="1"/>
    <xf numFmtId="0" fontId="14" fillId="0" borderId="0" xfId="0" applyFont="1"/>
    <xf numFmtId="49" fontId="14" fillId="0" borderId="0" xfId="0" applyNumberFormat="1" applyFont="1"/>
    <xf numFmtId="0" fontId="14" fillId="0" borderId="4" xfId="0" applyFont="1" applyBorder="1"/>
    <xf numFmtId="0" fontId="15" fillId="0" borderId="15" xfId="0" applyFont="1" applyBorder="1" applyAlignment="1">
      <alignment vertical="top"/>
    </xf>
    <xf numFmtId="0" fontId="14" fillId="0" borderId="6" xfId="0" applyFont="1" applyBorder="1"/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10" fontId="15" fillId="0" borderId="0" xfId="1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" fontId="14" fillId="0" borderId="6" xfId="0" applyNumberFormat="1" applyFont="1" applyBorder="1"/>
    <xf numFmtId="49" fontId="15" fillId="0" borderId="0" xfId="0" applyNumberFormat="1" applyFont="1" applyBorder="1"/>
    <xf numFmtId="0" fontId="14" fillId="0" borderId="7" xfId="0" applyFont="1" applyBorder="1"/>
    <xf numFmtId="165" fontId="14" fillId="0" borderId="0" xfId="2" applyFont="1" applyBorder="1"/>
    <xf numFmtId="165" fontId="14" fillId="0" borderId="7" xfId="2" applyFont="1" applyBorder="1"/>
    <xf numFmtId="165" fontId="14" fillId="0" borderId="21" xfId="2" applyFont="1" applyBorder="1"/>
    <xf numFmtId="165" fontId="14" fillId="0" borderId="18" xfId="2" applyFont="1" applyBorder="1"/>
    <xf numFmtId="49" fontId="14" fillId="0" borderId="0" xfId="0" applyNumberFormat="1" applyFont="1" applyBorder="1"/>
    <xf numFmtId="1" fontId="14" fillId="0" borderId="13" xfId="0" applyNumberFormat="1" applyFont="1" applyBorder="1"/>
    <xf numFmtId="49" fontId="15" fillId="0" borderId="20" xfId="0" applyNumberFormat="1" applyFont="1" applyBorder="1"/>
    <xf numFmtId="165" fontId="14" fillId="0" borderId="20" xfId="2" applyFont="1" applyBorder="1"/>
    <xf numFmtId="165" fontId="14" fillId="0" borderId="14" xfId="2" applyFont="1" applyBorder="1"/>
    <xf numFmtId="167" fontId="10" fillId="0" borderId="10" xfId="1" applyNumberFormat="1" applyFont="1" applyBorder="1"/>
    <xf numFmtId="167" fontId="10" fillId="0" borderId="11" xfId="1" applyNumberFormat="1" applyFont="1" applyBorder="1"/>
    <xf numFmtId="167" fontId="10" fillId="0" borderId="6" xfId="1" applyNumberFormat="1" applyFont="1" applyBorder="1"/>
    <xf numFmtId="167" fontId="10" fillId="0" borderId="7" xfId="1" applyNumberFormat="1" applyFont="1" applyBorder="1"/>
    <xf numFmtId="167" fontId="10" fillId="0" borderId="8" xfId="1" applyNumberFormat="1" applyFont="1" applyBorder="1"/>
    <xf numFmtId="167" fontId="10" fillId="0" borderId="9" xfId="1" applyNumberFormat="1" applyFont="1" applyBorder="1"/>
    <xf numFmtId="167" fontId="10" fillId="0" borderId="13" xfId="1" applyNumberFormat="1" applyFont="1" applyBorder="1"/>
    <xf numFmtId="167" fontId="10" fillId="0" borderId="14" xfId="1" applyNumberFormat="1" applyFont="1" applyBorder="1"/>
    <xf numFmtId="49" fontId="12" fillId="0" borderId="0" xfId="2" applyNumberFormat="1" applyFont="1" applyBorder="1"/>
    <xf numFmtId="166" fontId="14" fillId="0" borderId="0" xfId="2" applyNumberFormat="1" applyFont="1" applyBorder="1"/>
    <xf numFmtId="166" fontId="14" fillId="0" borderId="0" xfId="2" applyNumberFormat="1" applyFont="1"/>
    <xf numFmtId="166" fontId="19" fillId="0" borderId="0" xfId="2" applyNumberFormat="1" applyFont="1" applyBorder="1"/>
    <xf numFmtId="49" fontId="14" fillId="0" borderId="0" xfId="2" applyNumberFormat="1" applyFont="1" applyAlignment="1">
      <alignment vertical="center"/>
    </xf>
    <xf numFmtId="166" fontId="15" fillId="0" borderId="15" xfId="2" applyNumberFormat="1" applyFont="1" applyBorder="1" applyAlignment="1">
      <alignment vertical="top"/>
    </xf>
    <xf numFmtId="166" fontId="15" fillId="0" borderId="15" xfId="2" applyNumberFormat="1" applyFont="1" applyBorder="1" applyAlignment="1">
      <alignment horizontal="center" vertical="top" wrapText="1"/>
    </xf>
    <xf numFmtId="166" fontId="21" fillId="0" borderId="15" xfId="2" applyNumberFormat="1" applyFont="1" applyBorder="1" applyAlignment="1">
      <alignment horizontal="center" vertical="top" wrapText="1"/>
    </xf>
    <xf numFmtId="166" fontId="15" fillId="0" borderId="15" xfId="2" applyNumberFormat="1" applyFont="1" applyBorder="1" applyAlignment="1">
      <alignment horizontal="center" vertical="top"/>
    </xf>
    <xf numFmtId="166" fontId="21" fillId="0" borderId="4" xfId="2" applyNumberFormat="1" applyFont="1" applyBorder="1" applyAlignment="1">
      <alignment horizontal="center" vertical="top" wrapText="1"/>
    </xf>
    <xf numFmtId="166" fontId="15" fillId="0" borderId="5" xfId="2" applyNumberFormat="1" applyFont="1" applyBorder="1" applyAlignment="1">
      <alignment horizontal="center" vertical="top"/>
    </xf>
    <xf numFmtId="49" fontId="9" fillId="0" borderId="0" xfId="0" applyNumberFormat="1" applyFont="1" applyAlignment="1">
      <alignment horizontal="right" vertical="top" wrapText="1"/>
    </xf>
    <xf numFmtId="49" fontId="10" fillId="0" borderId="0" xfId="0" applyNumberFormat="1" applyFont="1" applyAlignment="1">
      <alignment horizontal="left" textRotation="90" wrapText="1"/>
    </xf>
    <xf numFmtId="49" fontId="10" fillId="0" borderId="0" xfId="0" applyNumberFormat="1" applyFont="1" applyAlignment="1">
      <alignment horizontal="right" textRotation="90" wrapText="1"/>
    </xf>
    <xf numFmtId="0" fontId="22" fillId="0" borderId="0" xfId="0" applyFont="1" applyBorder="1" applyAlignment="1">
      <alignment horizontal="right" textRotation="90" wrapText="1"/>
    </xf>
    <xf numFmtId="0" fontId="11" fillId="0" borderId="0" xfId="0" applyFont="1" applyAlignment="1">
      <alignment textRotation="90" wrapText="1"/>
    </xf>
    <xf numFmtId="0" fontId="11" fillId="0" borderId="0" xfId="0" applyFont="1" applyAlignment="1">
      <alignment horizontal="right" textRotation="90" wrapText="1"/>
    </xf>
    <xf numFmtId="0" fontId="11" fillId="0" borderId="0" xfId="0" applyFont="1" applyAlignment="1">
      <alignment horizontal="right" wrapText="1"/>
    </xf>
    <xf numFmtId="49" fontId="18" fillId="0" borderId="0" xfId="0" applyNumberFormat="1" applyFont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10" fontId="11" fillId="0" borderId="0" xfId="1" applyNumberFormat="1" applyFont="1" applyBorder="1" applyAlignment="1">
      <alignment horizontal="center" vertical="top" wrapText="1"/>
    </xf>
    <xf numFmtId="49" fontId="18" fillId="0" borderId="4" xfId="0" applyNumberFormat="1" applyFont="1" applyBorder="1" applyAlignment="1">
      <alignment horizontal="center" vertical="top" wrapText="1"/>
    </xf>
    <xf numFmtId="49" fontId="18" fillId="0" borderId="1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49" fontId="18" fillId="0" borderId="4" xfId="0" applyNumberFormat="1" applyFont="1" applyBorder="1" applyAlignment="1">
      <alignment horizontal="center" textRotation="90" wrapText="1"/>
    </xf>
    <xf numFmtId="49" fontId="18" fillId="0" borderId="5" xfId="0" applyNumberFormat="1" applyFont="1" applyBorder="1" applyAlignment="1">
      <alignment horizontal="center" textRotation="90" wrapText="1"/>
    </xf>
    <xf numFmtId="49" fontId="18" fillId="0" borderId="0" xfId="0" applyNumberFormat="1" applyFont="1" applyAlignment="1">
      <alignment horizontal="center" textRotation="90" wrapText="1"/>
    </xf>
    <xf numFmtId="2" fontId="24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righ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165" fontId="25" fillId="0" borderId="0" xfId="2" applyFont="1" applyBorder="1" applyAlignment="1">
      <alignment horizontal="center" vertical="center"/>
    </xf>
    <xf numFmtId="165" fontId="9" fillId="0" borderId="7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5" fillId="0" borderId="6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4" fillId="0" borderId="7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0" xfId="0" applyFont="1" applyAlignment="1">
      <alignment vertical="center"/>
    </xf>
    <xf numFmtId="49" fontId="18" fillId="0" borderId="0" xfId="0" applyNumberFormat="1" applyFont="1" applyAlignment="1">
      <alignment horizontal="left" vertical="center"/>
    </xf>
    <xf numFmtId="165" fontId="24" fillId="0" borderId="6" xfId="2" applyFont="1" applyBorder="1" applyAlignment="1">
      <alignment vertical="center"/>
    </xf>
    <xf numFmtId="165" fontId="24" fillId="0" borderId="0" xfId="2" applyFont="1" applyBorder="1" applyAlignment="1">
      <alignment vertical="center"/>
    </xf>
    <xf numFmtId="165" fontId="24" fillId="0" borderId="7" xfId="2" applyFont="1" applyBorder="1" applyAlignment="1">
      <alignment vertical="center"/>
    </xf>
    <xf numFmtId="2" fontId="10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165" fontId="10" fillId="0" borderId="6" xfId="2" applyFont="1" applyBorder="1" applyAlignment="1">
      <alignment vertical="center"/>
    </xf>
    <xf numFmtId="165" fontId="10" fillId="0" borderId="0" xfId="2" applyFont="1" applyBorder="1" applyAlignment="1">
      <alignment vertical="center"/>
    </xf>
    <xf numFmtId="165" fontId="10" fillId="0" borderId="7" xfId="2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10" fontId="10" fillId="0" borderId="0" xfId="1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10" fillId="0" borderId="0" xfId="0" applyNumberFormat="1" applyFont="1" applyFill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5" fontId="10" fillId="0" borderId="10" xfId="2" applyFont="1" applyBorder="1" applyAlignment="1">
      <alignment vertical="center"/>
    </xf>
    <xf numFmtId="165" fontId="10" fillId="0" borderId="2" xfId="2" applyFont="1" applyBorder="1" applyAlignment="1">
      <alignment vertical="center"/>
    </xf>
    <xf numFmtId="165" fontId="10" fillId="0" borderId="11" xfId="2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5" fontId="10" fillId="0" borderId="13" xfId="2" applyFont="1" applyBorder="1" applyAlignment="1">
      <alignment vertical="center"/>
    </xf>
    <xf numFmtId="165" fontId="10" fillId="0" borderId="20" xfId="2" applyFont="1" applyBorder="1" applyAlignment="1">
      <alignment vertical="center"/>
    </xf>
    <xf numFmtId="165" fontId="10" fillId="0" borderId="14" xfId="2" applyFont="1" applyBorder="1" applyAlignment="1">
      <alignment vertical="center"/>
    </xf>
    <xf numFmtId="49" fontId="10" fillId="0" borderId="0" xfId="0" quotePrefix="1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166" fontId="10" fillId="0" borderId="0" xfId="2" applyNumberFormat="1" applyFont="1" applyBorder="1" applyAlignment="1">
      <alignment vertical="center"/>
    </xf>
    <xf numFmtId="166" fontId="10" fillId="0" borderId="0" xfId="2" applyNumberFormat="1" applyFont="1" applyFill="1" applyBorder="1" applyAlignment="1">
      <alignment vertical="center"/>
    </xf>
    <xf numFmtId="0" fontId="24" fillId="0" borderId="0" xfId="0" applyFont="1" applyAlignment="1">
      <alignment horizontal="right" vertical="center"/>
    </xf>
    <xf numFmtId="165" fontId="10" fillId="0" borderId="24" xfId="2" applyFont="1" applyBorder="1" applyAlignment="1">
      <alignment vertical="center"/>
    </xf>
    <xf numFmtId="167" fontId="10" fillId="0" borderId="6" xfId="1" applyNumberFormat="1" applyFont="1" applyBorder="1" applyAlignment="1">
      <alignment vertical="center"/>
    </xf>
    <xf numFmtId="167" fontId="10" fillId="0" borderId="7" xfId="1" applyNumberFormat="1" applyFont="1" applyBorder="1" applyAlignment="1">
      <alignment vertical="center"/>
    </xf>
    <xf numFmtId="10" fontId="11" fillId="0" borderId="0" xfId="1" applyNumberFormat="1" applyFont="1" applyBorder="1" applyAlignment="1">
      <alignment horizontal="center" vertical="center" wrapText="1"/>
    </xf>
    <xf numFmtId="1" fontId="26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" fontId="10" fillId="0" borderId="0" xfId="0" applyNumberFormat="1" applyFont="1" applyAlignment="1">
      <alignment vertical="center"/>
    </xf>
    <xf numFmtId="0" fontId="24" fillId="0" borderId="0" xfId="0" quotePrefix="1" applyFont="1" applyBorder="1" applyAlignment="1">
      <alignment vertical="center"/>
    </xf>
    <xf numFmtId="49" fontId="26" fillId="0" borderId="0" xfId="0" applyNumberFormat="1" applyFont="1" applyAlignment="1">
      <alignment horizontal="right" vertical="center"/>
    </xf>
    <xf numFmtId="164" fontId="26" fillId="0" borderId="1" xfId="0" applyNumberFormat="1" applyFont="1" applyBorder="1" applyAlignment="1">
      <alignment vertical="center"/>
    </xf>
    <xf numFmtId="165" fontId="26" fillId="0" borderId="8" xfId="2" applyFont="1" applyBorder="1" applyAlignment="1">
      <alignment vertical="center"/>
    </xf>
    <xf numFmtId="165" fontId="26" fillId="0" borderId="1" xfId="2" applyFont="1" applyBorder="1" applyAlignment="1">
      <alignment vertical="center"/>
    </xf>
    <xf numFmtId="165" fontId="26" fillId="0" borderId="9" xfId="2" applyFont="1" applyBorder="1" applyAlignment="1">
      <alignment vertical="center"/>
    </xf>
    <xf numFmtId="10" fontId="26" fillId="0" borderId="0" xfId="1" applyNumberFormat="1" applyFont="1" applyBorder="1" applyAlignment="1">
      <alignment vertical="center"/>
    </xf>
    <xf numFmtId="164" fontId="26" fillId="0" borderId="8" xfId="0" applyNumberFormat="1" applyFont="1" applyBorder="1" applyAlignment="1">
      <alignment vertical="center"/>
    </xf>
    <xf numFmtId="164" fontId="26" fillId="0" borderId="9" xfId="0" applyNumberFormat="1" applyFont="1" applyBorder="1" applyAlignment="1">
      <alignment vertical="center"/>
    </xf>
    <xf numFmtId="167" fontId="26" fillId="0" borderId="8" xfId="1" applyNumberFormat="1" applyFont="1" applyBorder="1"/>
    <xf numFmtId="167" fontId="26" fillId="0" borderId="9" xfId="1" applyNumberFormat="1" applyFont="1" applyBorder="1"/>
    <xf numFmtId="164" fontId="26" fillId="0" borderId="0" xfId="0" applyNumberFormat="1" applyFont="1" applyBorder="1" applyAlignment="1">
      <alignment vertical="center"/>
    </xf>
    <xf numFmtId="49" fontId="10" fillId="0" borderId="0" xfId="0" applyNumberFormat="1" applyFont="1" applyAlignment="1">
      <alignment vertical="center"/>
    </xf>
    <xf numFmtId="49" fontId="10" fillId="0" borderId="0" xfId="0" quotePrefix="1" applyNumberFormat="1" applyFont="1" applyAlignment="1">
      <alignment horizontal="right" vertical="center"/>
    </xf>
    <xf numFmtId="164" fontId="10" fillId="0" borderId="17" xfId="0" applyNumberFormat="1" applyFont="1" applyBorder="1" applyAlignment="1">
      <alignment vertical="center"/>
    </xf>
    <xf numFmtId="164" fontId="10" fillId="0" borderId="21" xfId="0" applyNumberFormat="1" applyFont="1" applyBorder="1" applyAlignment="1">
      <alignment vertical="center"/>
    </xf>
    <xf numFmtId="164" fontId="10" fillId="0" borderId="18" xfId="0" applyNumberFormat="1" applyFont="1" applyBorder="1" applyAlignment="1">
      <alignment vertical="center"/>
    </xf>
    <xf numFmtId="167" fontId="10" fillId="0" borderId="17" xfId="1" applyNumberFormat="1" applyFont="1" applyBorder="1"/>
    <xf numFmtId="167" fontId="10" fillId="0" borderId="18" xfId="1" applyNumberFormat="1" applyFont="1" applyBorder="1"/>
    <xf numFmtId="164" fontId="26" fillId="0" borderId="6" xfId="0" applyNumberFormat="1" applyFont="1" applyBorder="1" applyAlignment="1">
      <alignment vertical="center"/>
    </xf>
    <xf numFmtId="164" fontId="26" fillId="0" borderId="7" xfId="0" applyNumberFormat="1" applyFont="1" applyBorder="1" applyAlignment="1">
      <alignment vertical="center"/>
    </xf>
    <xf numFmtId="167" fontId="26" fillId="0" borderId="6" xfId="1" applyNumberFormat="1" applyFont="1" applyBorder="1"/>
    <xf numFmtId="167" fontId="26" fillId="0" borderId="7" xfId="1" applyNumberFormat="1" applyFont="1" applyBorder="1"/>
    <xf numFmtId="164" fontId="26" fillId="0" borderId="19" xfId="0" applyNumberFormat="1" applyFont="1" applyBorder="1" applyAlignment="1">
      <alignment vertical="center"/>
    </xf>
    <xf numFmtId="165" fontId="26" fillId="0" borderId="12" xfId="2" applyFont="1" applyBorder="1" applyAlignment="1">
      <alignment vertical="center"/>
    </xf>
    <xf numFmtId="165" fontId="26" fillId="0" borderId="16" xfId="2" applyFont="1" applyBorder="1" applyAlignment="1">
      <alignment vertical="center"/>
    </xf>
    <xf numFmtId="165" fontId="26" fillId="0" borderId="14" xfId="2" applyFont="1" applyBorder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vertical="center"/>
    </xf>
    <xf numFmtId="0" fontId="24" fillId="0" borderId="0" xfId="0" applyFont="1" applyBorder="1" applyAlignment="1">
      <alignment vertical="center" wrapText="1"/>
    </xf>
    <xf numFmtId="165" fontId="26" fillId="0" borderId="6" xfId="2" applyFont="1" applyBorder="1" applyAlignment="1">
      <alignment vertical="center"/>
    </xf>
    <xf numFmtId="165" fontId="26" fillId="0" borderId="0" xfId="2" applyFont="1" applyBorder="1" applyAlignment="1">
      <alignment vertical="center"/>
    </xf>
    <xf numFmtId="165" fontId="26" fillId="0" borderId="7" xfId="2" applyFont="1" applyBorder="1" applyAlignment="1">
      <alignment vertical="center"/>
    </xf>
    <xf numFmtId="2" fontId="27" fillId="0" borderId="0" xfId="0" applyNumberFormat="1" applyFont="1" applyAlignment="1">
      <alignment vertical="center"/>
    </xf>
    <xf numFmtId="49" fontId="28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right" vertical="center"/>
    </xf>
    <xf numFmtId="164" fontId="28" fillId="0" borderId="20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vertical="center" wrapText="1"/>
    </xf>
    <xf numFmtId="165" fontId="28" fillId="0" borderId="22" xfId="2" applyFont="1" applyBorder="1" applyAlignment="1">
      <alignment vertical="center"/>
    </xf>
    <xf numFmtId="165" fontId="28" fillId="0" borderId="19" xfId="2" applyFont="1" applyBorder="1" applyAlignment="1">
      <alignment vertical="center"/>
    </xf>
    <xf numFmtId="165" fontId="28" fillId="0" borderId="23" xfId="2" applyFont="1" applyBorder="1" applyAlignment="1">
      <alignment vertical="center"/>
    </xf>
    <xf numFmtId="10" fontId="28" fillId="0" borderId="0" xfId="1" applyNumberFormat="1" applyFont="1" applyBorder="1" applyAlignment="1">
      <alignment vertical="center"/>
    </xf>
    <xf numFmtId="164" fontId="28" fillId="0" borderId="30" xfId="0" applyNumberFormat="1" applyFont="1" applyBorder="1" applyAlignment="1">
      <alignment vertical="center"/>
    </xf>
    <xf numFmtId="164" fontId="28" fillId="0" borderId="31" xfId="0" applyNumberFormat="1" applyFont="1" applyBorder="1" applyAlignment="1">
      <alignment vertical="center"/>
    </xf>
    <xf numFmtId="164" fontId="28" fillId="0" borderId="32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167" fontId="28" fillId="0" borderId="30" xfId="1" applyNumberFormat="1" applyFont="1" applyBorder="1"/>
    <xf numFmtId="167" fontId="28" fillId="0" borderId="32" xfId="1" applyNumberFormat="1" applyFont="1" applyBorder="1"/>
    <xf numFmtId="0" fontId="26" fillId="0" borderId="0" xfId="0" applyFont="1" applyAlignment="1">
      <alignment horizontal="right" vertical="center"/>
    </xf>
    <xf numFmtId="165" fontId="10" fillId="0" borderId="4" xfId="2" applyFont="1" applyBorder="1" applyAlignment="1">
      <alignment vertical="center"/>
    </xf>
    <xf numFmtId="165" fontId="10" fillId="0" borderId="15" xfId="2" applyFont="1" applyBorder="1" applyAlignment="1">
      <alignment vertical="center"/>
    </xf>
    <xf numFmtId="165" fontId="10" fillId="0" borderId="5" xfId="2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vertical="center"/>
    </xf>
    <xf numFmtId="167" fontId="10" fillId="0" borderId="4" xfId="1" applyNumberFormat="1" applyFont="1" applyBorder="1"/>
    <xf numFmtId="167" fontId="10" fillId="0" borderId="5" xfId="1" applyNumberFormat="1" applyFont="1" applyBorder="1"/>
    <xf numFmtId="49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horizontal="right" vertical="center"/>
    </xf>
    <xf numFmtId="0" fontId="10" fillId="0" borderId="0" xfId="0" quotePrefix="1" applyFont="1" applyBorder="1" applyAlignment="1">
      <alignment vertical="center" wrapText="1"/>
    </xf>
    <xf numFmtId="49" fontId="10" fillId="0" borderId="0" xfId="0" applyNumberFormat="1" applyFont="1" applyFill="1" applyAlignment="1">
      <alignment horizontal="left" vertical="center"/>
    </xf>
    <xf numFmtId="49" fontId="24" fillId="0" borderId="0" xfId="0" applyNumberFormat="1" applyFont="1" applyFill="1" applyAlignment="1">
      <alignment horizontal="left" vertical="center"/>
    </xf>
    <xf numFmtId="49" fontId="24" fillId="0" borderId="0" xfId="0" applyNumberFormat="1" applyFont="1" applyAlignment="1">
      <alignment horizontal="right" vertical="center"/>
    </xf>
    <xf numFmtId="49" fontId="24" fillId="0" borderId="0" xfId="0" applyNumberFormat="1" applyFont="1" applyFill="1" applyAlignment="1">
      <alignment vertical="center"/>
    </xf>
    <xf numFmtId="164" fontId="26" fillId="0" borderId="3" xfId="0" applyNumberFormat="1" applyFont="1" applyBorder="1" applyAlignment="1">
      <alignment vertical="center"/>
    </xf>
    <xf numFmtId="165" fontId="26" fillId="0" borderId="25" xfId="2" applyFont="1" applyBorder="1" applyAlignment="1">
      <alignment vertical="center"/>
    </xf>
    <xf numFmtId="165" fontId="26" fillId="0" borderId="3" xfId="2" applyFont="1" applyBorder="1" applyAlignment="1">
      <alignment vertical="center"/>
    </xf>
    <xf numFmtId="165" fontId="26" fillId="0" borderId="26" xfId="2" applyFont="1" applyBorder="1" applyAlignment="1">
      <alignment vertical="center"/>
    </xf>
    <xf numFmtId="165" fontId="10" fillId="0" borderId="17" xfId="2" applyFont="1" applyBorder="1" applyAlignment="1">
      <alignment vertical="center"/>
    </xf>
    <xf numFmtId="165" fontId="10" fillId="0" borderId="21" xfId="2" applyFont="1" applyBorder="1" applyAlignment="1">
      <alignment vertical="center"/>
    </xf>
    <xf numFmtId="165" fontId="10" fillId="0" borderId="18" xfId="2" applyFont="1" applyBorder="1" applyAlignment="1">
      <alignment vertical="center"/>
    </xf>
    <xf numFmtId="49" fontId="26" fillId="0" borderId="0" xfId="0" applyNumberFormat="1" applyFont="1" applyFill="1" applyAlignment="1">
      <alignment horizontal="right" vertical="center"/>
    </xf>
    <xf numFmtId="164" fontId="26" fillId="0" borderId="16" xfId="0" applyNumberFormat="1" applyFont="1" applyBorder="1" applyAlignment="1">
      <alignment vertical="center"/>
    </xf>
    <xf numFmtId="165" fontId="26" fillId="0" borderId="13" xfId="2" applyFont="1" applyBorder="1" applyAlignment="1">
      <alignment vertical="center"/>
    </xf>
    <xf numFmtId="165" fontId="26" fillId="0" borderId="20" xfId="2" applyFont="1" applyBorder="1" applyAlignment="1">
      <alignment vertical="center"/>
    </xf>
    <xf numFmtId="164" fontId="28" fillId="0" borderId="12" xfId="0" applyNumberFormat="1" applyFont="1" applyBorder="1" applyAlignment="1">
      <alignment vertical="center"/>
    </xf>
    <xf numFmtId="164" fontId="28" fillId="0" borderId="16" xfId="0" applyNumberFormat="1" applyFont="1" applyBorder="1" applyAlignment="1">
      <alignment vertical="center"/>
    </xf>
    <xf numFmtId="164" fontId="28" fillId="0" borderId="33" xfId="0" applyNumberFormat="1" applyFont="1" applyBorder="1" applyAlignment="1">
      <alignment vertical="center"/>
    </xf>
    <xf numFmtId="167" fontId="28" fillId="0" borderId="12" xfId="1" applyNumberFormat="1" applyFont="1" applyBorder="1"/>
    <xf numFmtId="167" fontId="28" fillId="0" borderId="33" xfId="1" applyNumberFormat="1" applyFont="1" applyBorder="1"/>
    <xf numFmtId="49" fontId="11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horizontal="left" vertical="center"/>
    </xf>
    <xf numFmtId="165" fontId="26" fillId="0" borderId="22" xfId="2" applyFont="1" applyBorder="1" applyAlignment="1">
      <alignment vertical="center"/>
    </xf>
    <xf numFmtId="165" fontId="26" fillId="0" borderId="19" xfId="2" applyFont="1" applyBorder="1" applyAlignment="1">
      <alignment vertical="center"/>
    </xf>
    <xf numFmtId="165" fontId="26" fillId="0" borderId="23" xfId="2" applyFont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28" fillId="0" borderId="8" xfId="0" applyNumberFormat="1" applyFont="1" applyBorder="1" applyAlignment="1">
      <alignment vertical="center"/>
    </xf>
    <xf numFmtId="164" fontId="28" fillId="0" borderId="1" xfId="0" applyNumberFormat="1" applyFont="1" applyBorder="1" applyAlignment="1">
      <alignment vertical="center"/>
    </xf>
    <xf numFmtId="164" fontId="28" fillId="0" borderId="9" xfId="0" applyNumberFormat="1" applyFont="1" applyBorder="1" applyAlignment="1">
      <alignment vertical="center"/>
    </xf>
    <xf numFmtId="167" fontId="28" fillId="0" borderId="8" xfId="1" applyNumberFormat="1" applyFont="1" applyBorder="1"/>
    <xf numFmtId="167" fontId="28" fillId="0" borderId="9" xfId="1" applyNumberFormat="1" applyFont="1" applyBorder="1"/>
    <xf numFmtId="49" fontId="30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1" fontId="10" fillId="0" borderId="0" xfId="0" applyNumberFormat="1" applyFont="1" applyAlignment="1">
      <alignment horizontal="right" vertical="center"/>
    </xf>
    <xf numFmtId="164" fontId="26" fillId="0" borderId="30" xfId="0" applyNumberFormat="1" applyFont="1" applyBorder="1" applyAlignment="1">
      <alignment vertical="center"/>
    </xf>
    <xf numFmtId="164" fontId="26" fillId="0" borderId="31" xfId="0" applyNumberFormat="1" applyFont="1" applyBorder="1" applyAlignment="1">
      <alignment vertical="center"/>
    </xf>
    <xf numFmtId="164" fontId="26" fillId="0" borderId="32" xfId="0" applyNumberFormat="1" applyFont="1" applyBorder="1" applyAlignment="1">
      <alignment vertical="center"/>
    </xf>
    <xf numFmtId="167" fontId="26" fillId="0" borderId="30" xfId="1" applyNumberFormat="1" applyFont="1" applyBorder="1"/>
    <xf numFmtId="167" fontId="26" fillId="0" borderId="32" xfId="1" applyNumberFormat="1" applyFont="1" applyBorder="1"/>
    <xf numFmtId="164" fontId="10" fillId="0" borderId="21" xfId="0" applyNumberFormat="1" applyFont="1" applyFill="1" applyBorder="1" applyAlignment="1">
      <alignment vertical="center"/>
    </xf>
    <xf numFmtId="164" fontId="26" fillId="0" borderId="20" xfId="0" applyNumberFormat="1" applyFont="1" applyBorder="1" applyAlignment="1">
      <alignment vertical="center"/>
    </xf>
    <xf numFmtId="164" fontId="26" fillId="0" borderId="1" xfId="0" applyNumberFormat="1" applyFont="1" applyBorder="1"/>
    <xf numFmtId="164" fontId="26" fillId="0" borderId="0" xfId="0" applyNumberFormat="1" applyFont="1" applyBorder="1"/>
    <xf numFmtId="166" fontId="10" fillId="0" borderId="0" xfId="2" applyNumberFormat="1" applyFont="1" applyAlignment="1">
      <alignment vertical="center"/>
    </xf>
    <xf numFmtId="0" fontId="17" fillId="0" borderId="0" xfId="0" applyFont="1" applyBorder="1"/>
    <xf numFmtId="164" fontId="10" fillId="0" borderId="13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2" fontId="10" fillId="0" borderId="0" xfId="0" applyNumberFormat="1" applyFont="1"/>
    <xf numFmtId="49" fontId="26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right"/>
    </xf>
    <xf numFmtId="164" fontId="26" fillId="0" borderId="16" xfId="0" applyNumberFormat="1" applyFont="1" applyBorder="1"/>
    <xf numFmtId="0" fontId="24" fillId="0" borderId="0" xfId="0" applyFont="1" applyAlignment="1">
      <alignment horizontal="right"/>
    </xf>
    <xf numFmtId="0" fontId="24" fillId="0" borderId="0" xfId="0" applyFont="1" applyBorder="1"/>
    <xf numFmtId="0" fontId="24" fillId="0" borderId="0" xfId="0" applyFont="1"/>
    <xf numFmtId="165" fontId="10" fillId="0" borderId="0" xfId="2" applyFont="1"/>
    <xf numFmtId="2" fontId="26" fillId="0" borderId="0" xfId="0" applyNumberFormat="1" applyFont="1"/>
    <xf numFmtId="49" fontId="26" fillId="0" borderId="0" xfId="0" applyNumberFormat="1" applyFont="1" applyAlignment="1">
      <alignment horizontal="left"/>
    </xf>
    <xf numFmtId="164" fontId="26" fillId="0" borderId="0" xfId="0" applyNumberFormat="1" applyFont="1"/>
    <xf numFmtId="0" fontId="32" fillId="0" borderId="0" xfId="0" applyFont="1" applyAlignment="1">
      <alignment horizontal="right"/>
    </xf>
    <xf numFmtId="165" fontId="26" fillId="0" borderId="4" xfId="2" applyFont="1" applyBorder="1" applyAlignment="1">
      <alignment vertical="center"/>
    </xf>
    <xf numFmtId="165" fontId="26" fillId="0" borderId="15" xfId="2" applyFont="1" applyBorder="1" applyAlignment="1">
      <alignment vertical="center"/>
    </xf>
    <xf numFmtId="165" fontId="26" fillId="0" borderId="5" xfId="2" applyFont="1" applyBorder="1" applyAlignment="1">
      <alignment vertical="center"/>
    </xf>
    <xf numFmtId="0" fontId="26" fillId="0" borderId="0" xfId="0" applyFont="1"/>
    <xf numFmtId="164" fontId="26" fillId="0" borderId="4" xfId="0" applyNumberFormat="1" applyFont="1" applyBorder="1" applyAlignment="1">
      <alignment vertical="center"/>
    </xf>
    <xf numFmtId="164" fontId="26" fillId="0" borderId="15" xfId="0" applyNumberFormat="1" applyFont="1" applyBorder="1" applyAlignment="1">
      <alignment vertical="center"/>
    </xf>
    <xf numFmtId="164" fontId="26" fillId="0" borderId="5" xfId="0" applyNumberFormat="1" applyFont="1" applyBorder="1" applyAlignment="1">
      <alignment vertical="center"/>
    </xf>
    <xf numFmtId="167" fontId="26" fillId="0" borderId="4" xfId="1" applyNumberFormat="1" applyFont="1" applyBorder="1"/>
    <xf numFmtId="167" fontId="26" fillId="0" borderId="5" xfId="1" applyNumberFormat="1" applyFont="1" applyBorder="1"/>
    <xf numFmtId="164" fontId="26" fillId="0" borderId="13" xfId="0" applyNumberFormat="1" applyFont="1" applyBorder="1" applyAlignment="1">
      <alignment vertical="center"/>
    </xf>
    <xf numFmtId="164" fontId="26" fillId="0" borderId="14" xfId="0" applyNumberFormat="1" applyFont="1" applyBorder="1" applyAlignment="1">
      <alignment vertical="center"/>
    </xf>
    <xf numFmtId="167" fontId="26" fillId="0" borderId="13" xfId="1" applyNumberFormat="1" applyFont="1" applyBorder="1"/>
    <xf numFmtId="167" fontId="26" fillId="0" borderId="14" xfId="1" applyNumberFormat="1" applyFont="1" applyBorder="1"/>
    <xf numFmtId="165" fontId="16" fillId="0" borderId="6" xfId="2" applyFont="1" applyBorder="1" applyAlignment="1">
      <alignment vertical="top"/>
    </xf>
    <xf numFmtId="166" fontId="14" fillId="0" borderId="4" xfId="2" applyNumberFormat="1" applyFont="1" applyBorder="1" applyAlignment="1">
      <alignment vertical="top"/>
    </xf>
    <xf numFmtId="166" fontId="14" fillId="0" borderId="15" xfId="2" applyNumberFormat="1" applyFont="1" applyBorder="1" applyAlignment="1">
      <alignment vertical="top"/>
    </xf>
    <xf numFmtId="166" fontId="14" fillId="0" borderId="6" xfId="2" applyNumberFormat="1" applyFont="1" applyBorder="1" applyAlignment="1">
      <alignment vertical="top"/>
    </xf>
    <xf numFmtId="166" fontId="14" fillId="0" borderId="0" xfId="2" applyNumberFormat="1" applyFont="1" applyBorder="1" applyAlignment="1">
      <alignment horizontal="right" vertical="top"/>
    </xf>
    <xf numFmtId="166" fontId="14" fillId="0" borderId="0" xfId="2" applyNumberFormat="1" applyFont="1" applyBorder="1" applyAlignment="1">
      <alignment vertical="top"/>
    </xf>
    <xf numFmtId="49" fontId="21" fillId="0" borderId="0" xfId="2" applyNumberFormat="1" applyFont="1" applyBorder="1" applyAlignment="1">
      <alignment horizontal="center" vertical="top"/>
    </xf>
    <xf numFmtId="49" fontId="15" fillId="0" borderId="6" xfId="2" applyNumberFormat="1" applyFont="1" applyBorder="1" applyAlignment="1">
      <alignment horizontal="center" vertical="top"/>
    </xf>
    <xf numFmtId="49" fontId="15" fillId="0" borderId="0" xfId="2" applyNumberFormat="1" applyFont="1" applyBorder="1" applyAlignment="1">
      <alignment horizontal="center" vertical="top"/>
    </xf>
    <xf numFmtId="49" fontId="15" fillId="0" borderId="7" xfId="2" applyNumberFormat="1" applyFont="1" applyBorder="1" applyAlignment="1">
      <alignment horizontal="center" vertical="top"/>
    </xf>
    <xf numFmtId="0" fontId="14" fillId="0" borderId="0" xfId="0" applyFont="1" applyBorder="1" applyAlignment="1">
      <alignment vertical="top" wrapText="1"/>
    </xf>
    <xf numFmtId="166" fontId="14" fillId="0" borderId="2" xfId="2" applyNumberFormat="1" applyFont="1" applyBorder="1" applyAlignment="1">
      <alignment vertical="top"/>
    </xf>
    <xf numFmtId="167" fontId="14" fillId="0" borderId="10" xfId="1" applyNumberFormat="1" applyFont="1" applyBorder="1" applyAlignment="1">
      <alignment vertical="top"/>
    </xf>
    <xf numFmtId="167" fontId="14" fillId="0" borderId="2" xfId="1" applyNumberFormat="1" applyFont="1" applyBorder="1" applyAlignment="1">
      <alignment vertical="top"/>
    </xf>
    <xf numFmtId="167" fontId="14" fillId="0" borderId="11" xfId="1" applyNumberFormat="1" applyFont="1" applyBorder="1" applyAlignment="1">
      <alignment vertical="top"/>
    </xf>
    <xf numFmtId="167" fontId="14" fillId="0" borderId="6" xfId="1" applyNumberFormat="1" applyFont="1" applyBorder="1" applyAlignment="1">
      <alignment vertical="top"/>
    </xf>
    <xf numFmtId="167" fontId="14" fillId="0" borderId="0" xfId="1" applyNumberFormat="1" applyFont="1" applyBorder="1" applyAlignment="1">
      <alignment vertical="top"/>
    </xf>
    <xf numFmtId="167" fontId="14" fillId="0" borderId="7" xfId="1" applyNumberFormat="1" applyFont="1" applyBorder="1" applyAlignment="1">
      <alignment vertical="top"/>
    </xf>
    <xf numFmtId="166" fontId="14" fillId="0" borderId="1" xfId="2" applyNumberFormat="1" applyFont="1" applyBorder="1" applyAlignment="1">
      <alignment horizontal="right" vertical="top"/>
    </xf>
    <xf numFmtId="166" fontId="14" fillId="0" borderId="1" xfId="2" applyNumberFormat="1" applyFont="1" applyBorder="1" applyAlignment="1">
      <alignment vertical="top"/>
    </xf>
    <xf numFmtId="167" fontId="14" fillId="0" borderId="8" xfId="1" applyNumberFormat="1" applyFont="1" applyBorder="1" applyAlignment="1">
      <alignment vertical="top"/>
    </xf>
    <xf numFmtId="167" fontId="14" fillId="0" borderId="1" xfId="1" applyNumberFormat="1" applyFont="1" applyBorder="1" applyAlignment="1">
      <alignment vertical="top"/>
    </xf>
    <xf numFmtId="167" fontId="14" fillId="0" borderId="9" xfId="1" applyNumberFormat="1" applyFont="1" applyBorder="1" applyAlignment="1">
      <alignment vertical="top"/>
    </xf>
    <xf numFmtId="166" fontId="14" fillId="0" borderId="13" xfId="2" applyNumberFormat="1" applyFont="1" applyBorder="1" applyAlignment="1">
      <alignment vertical="top"/>
    </xf>
    <xf numFmtId="166" fontId="14" fillId="0" borderId="20" xfId="2" applyNumberFormat="1" applyFont="1" applyBorder="1" applyAlignment="1">
      <alignment vertical="top"/>
    </xf>
    <xf numFmtId="167" fontId="14" fillId="0" borderId="13" xfId="1" applyNumberFormat="1" applyFont="1" applyBorder="1" applyAlignment="1">
      <alignment vertical="top"/>
    </xf>
    <xf numFmtId="167" fontId="14" fillId="0" borderId="20" xfId="1" applyNumberFormat="1" applyFont="1" applyBorder="1" applyAlignment="1">
      <alignment vertical="top"/>
    </xf>
    <xf numFmtId="167" fontId="14" fillId="0" borderId="14" xfId="1" applyNumberFormat="1" applyFont="1" applyBorder="1" applyAlignment="1">
      <alignment vertical="top"/>
    </xf>
    <xf numFmtId="166" fontId="14" fillId="0" borderId="0" xfId="2" applyNumberFormat="1" applyFont="1" applyAlignment="1">
      <alignment vertical="top"/>
    </xf>
    <xf numFmtId="49" fontId="14" fillId="0" borderId="0" xfId="2" applyNumberFormat="1" applyFont="1" applyAlignment="1">
      <alignment vertical="top"/>
    </xf>
    <xf numFmtId="166" fontId="20" fillId="0" borderId="0" xfId="2" applyNumberFormat="1" applyFont="1" applyBorder="1" applyAlignment="1">
      <alignment vertical="top"/>
    </xf>
    <xf numFmtId="9" fontId="14" fillId="0" borderId="0" xfId="1" applyFont="1" applyBorder="1" applyAlignment="1">
      <alignment vertical="top"/>
    </xf>
    <xf numFmtId="166" fontId="14" fillId="0" borderId="21" xfId="2" applyNumberFormat="1" applyFont="1" applyBorder="1" applyAlignment="1">
      <alignment vertical="top"/>
    </xf>
    <xf numFmtId="166" fontId="14" fillId="0" borderId="20" xfId="2" applyNumberFormat="1" applyFont="1" applyBorder="1" applyAlignment="1">
      <alignment horizontal="right" vertical="top"/>
    </xf>
    <xf numFmtId="166" fontId="14" fillId="0" borderId="16" xfId="2" applyNumberFormat="1" applyFont="1" applyBorder="1" applyAlignment="1">
      <alignment vertical="top"/>
    </xf>
    <xf numFmtId="167" fontId="14" fillId="0" borderId="16" xfId="1" applyNumberFormat="1" applyFont="1" applyBorder="1" applyAlignment="1">
      <alignment vertical="top"/>
    </xf>
    <xf numFmtId="167" fontId="14" fillId="0" borderId="33" xfId="1" applyNumberFormat="1" applyFont="1" applyBorder="1" applyAlignment="1">
      <alignment vertical="top"/>
    </xf>
    <xf numFmtId="166" fontId="14" fillId="0" borderId="0" xfId="2" applyNumberFormat="1" applyFont="1" applyAlignment="1">
      <alignment horizontal="left" vertical="top"/>
    </xf>
    <xf numFmtId="49" fontId="15" fillId="0" borderId="0" xfId="2" applyNumberFormat="1" applyFont="1" applyAlignment="1">
      <alignment vertical="center"/>
    </xf>
    <xf numFmtId="166" fontId="19" fillId="0" borderId="0" xfId="2" applyNumberFormat="1" applyFont="1" applyBorder="1" applyAlignment="1"/>
    <xf numFmtId="166" fontId="14" fillId="0" borderId="7" xfId="2" applyNumberFormat="1" applyFont="1" applyBorder="1" applyAlignment="1">
      <alignment vertical="top"/>
    </xf>
    <xf numFmtId="166" fontId="14" fillId="0" borderId="33" xfId="2" applyNumberFormat="1" applyFont="1" applyBorder="1" applyAlignment="1">
      <alignment vertical="top"/>
    </xf>
    <xf numFmtId="165" fontId="20" fillId="0" borderId="0" xfId="2" quotePrefix="1" applyNumberFormat="1" applyFont="1" applyBorder="1" applyAlignment="1">
      <alignment horizontal="right" vertical="top"/>
    </xf>
    <xf numFmtId="165" fontId="20" fillId="0" borderId="0" xfId="2" applyNumberFormat="1" applyFont="1" applyBorder="1" applyAlignment="1">
      <alignment vertical="top"/>
    </xf>
    <xf numFmtId="0" fontId="15" fillId="0" borderId="0" xfId="0" applyFont="1"/>
    <xf numFmtId="165" fontId="11" fillId="0" borderId="27" xfId="2" applyFont="1" applyBorder="1" applyAlignment="1">
      <alignment horizontal="center" vertical="top" wrapText="1"/>
    </xf>
    <xf numFmtId="165" fontId="11" fillId="0" borderId="28" xfId="2" applyFont="1" applyBorder="1" applyAlignment="1">
      <alignment horizontal="center" vertical="top" wrapText="1"/>
    </xf>
    <xf numFmtId="165" fontId="11" fillId="0" borderId="29" xfId="2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10" fontId="15" fillId="0" borderId="15" xfId="1" applyNumberFormat="1" applyFont="1" applyBorder="1" applyAlignment="1">
      <alignment horizontal="center" vertical="center" wrapText="1"/>
    </xf>
    <xf numFmtId="10" fontId="15" fillId="0" borderId="5" xfId="1" applyNumberFormat="1" applyFont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142"/>
  <sheetViews>
    <sheetView tabSelected="1" zoomScale="62" zoomScaleNormal="62" zoomScaleSheetLayoutView="80" workbookViewId="0">
      <pane xSplit="3" ySplit="2" topLeftCell="D3" activePane="bottomRight" state="frozen"/>
      <selection pane="topRight" activeCell="B1" sqref="B1"/>
      <selection pane="bottomLeft" activeCell="A4" sqref="A4"/>
      <selection pane="bottomRight" sqref="A1:B1"/>
    </sheetView>
  </sheetViews>
  <sheetFormatPr defaultColWidth="8.85546875" defaultRowHeight="15" x14ac:dyDescent="0.25"/>
  <cols>
    <col min="1" max="1" width="6.42578125" style="237" customWidth="1"/>
    <col min="2" max="2" width="8.5703125" style="237" customWidth="1"/>
    <col min="3" max="3" width="28.42578125" style="239" customWidth="1"/>
    <col min="4" max="4" width="5.42578125" style="239" customWidth="1"/>
    <col min="5" max="5" width="8.85546875" style="239" customWidth="1"/>
    <col min="6" max="6" width="10.7109375" style="240" customWidth="1"/>
    <col min="7" max="7" width="6.5703125" style="1" customWidth="1"/>
    <col min="8" max="10" width="6.42578125" style="1" customWidth="1"/>
    <col min="11" max="11" width="8.42578125" style="1" customWidth="1"/>
    <col min="12" max="13" width="6.42578125" style="1" customWidth="1"/>
    <col min="14" max="14" width="10.42578125" style="1" customWidth="1"/>
    <col min="15" max="15" width="6.42578125" style="1" customWidth="1"/>
    <col min="16" max="16" width="10.85546875" style="1" customWidth="1"/>
    <col min="17" max="17" width="8.85546875" style="1" customWidth="1"/>
    <col min="18" max="18" width="10.42578125" style="1" customWidth="1"/>
    <col min="19" max="19" width="7" style="1" customWidth="1"/>
    <col min="20" max="21" width="6.42578125" style="1" customWidth="1"/>
    <col min="22" max="22" width="8" style="1" customWidth="1"/>
    <col min="23" max="25" width="11" style="1" customWidth="1"/>
    <col min="26" max="26" width="8.140625" style="1" customWidth="1"/>
    <col min="27" max="27" width="6.42578125" style="1" customWidth="1"/>
    <col min="28" max="28" width="8" style="1" customWidth="1"/>
    <col min="29" max="29" width="6.42578125" style="1" customWidth="1"/>
    <col min="30" max="30" width="10.42578125" style="1" customWidth="1"/>
    <col min="31" max="31" width="10.85546875" style="242" customWidth="1"/>
    <col min="32" max="32" width="28.42578125" style="244" customWidth="1"/>
    <col min="33" max="34" width="11.42578125" style="245" customWidth="1"/>
    <col min="35" max="35" width="10.42578125" style="245" customWidth="1"/>
    <col min="36" max="36" width="3.42578125" style="1" customWidth="1"/>
    <col min="37" max="38" width="8.85546875" style="1"/>
    <col min="39" max="39" width="10.28515625" style="1" customWidth="1"/>
    <col min="40" max="40" width="8.85546875" style="1"/>
    <col min="41" max="41" width="10" style="1" customWidth="1"/>
    <col min="42" max="42" width="8.85546875" style="1"/>
    <col min="43" max="43" width="9.7109375" style="1" customWidth="1"/>
    <col min="44" max="16384" width="8.85546875" style="1"/>
  </cols>
  <sheetData>
    <row r="1" spans="1:45" ht="80.25" customHeight="1" x14ac:dyDescent="0.25">
      <c r="A1" s="311" t="s">
        <v>340</v>
      </c>
      <c r="B1" s="311"/>
      <c r="C1" s="45" t="s">
        <v>332</v>
      </c>
      <c r="D1" s="46" t="s">
        <v>59</v>
      </c>
      <c r="E1" s="46" t="s">
        <v>140</v>
      </c>
      <c r="F1" s="47" t="s">
        <v>84</v>
      </c>
      <c r="G1" s="48" t="s">
        <v>18</v>
      </c>
      <c r="H1" s="48" t="s">
        <v>19</v>
      </c>
      <c r="I1" s="48" t="s">
        <v>20</v>
      </c>
      <c r="J1" s="48" t="s">
        <v>21</v>
      </c>
      <c r="K1" s="48" t="s">
        <v>22</v>
      </c>
      <c r="L1" s="48" t="s">
        <v>31</v>
      </c>
      <c r="M1" s="48" t="s">
        <v>32</v>
      </c>
      <c r="N1" s="48" t="s">
        <v>83</v>
      </c>
      <c r="O1" s="48" t="s">
        <v>23</v>
      </c>
      <c r="P1" s="48" t="s">
        <v>26</v>
      </c>
      <c r="Q1" s="48" t="s">
        <v>24</v>
      </c>
      <c r="R1" s="48" t="s">
        <v>25</v>
      </c>
      <c r="S1" s="48" t="s">
        <v>333</v>
      </c>
      <c r="T1" s="48" t="s">
        <v>27</v>
      </c>
      <c r="U1" s="48" t="s">
        <v>28</v>
      </c>
      <c r="V1" s="48" t="s">
        <v>213</v>
      </c>
      <c r="W1" s="48" t="s">
        <v>29</v>
      </c>
      <c r="X1" s="48" t="s">
        <v>30</v>
      </c>
      <c r="Y1" s="48" t="s">
        <v>33</v>
      </c>
      <c r="Z1" s="49" t="s">
        <v>81</v>
      </c>
      <c r="AA1" s="50" t="s">
        <v>82</v>
      </c>
      <c r="AB1" s="48" t="s">
        <v>47</v>
      </c>
      <c r="AC1" s="50" t="s">
        <v>179</v>
      </c>
      <c r="AD1" s="51"/>
      <c r="AE1" s="52" t="s">
        <v>184</v>
      </c>
      <c r="AF1" s="53" t="s">
        <v>183</v>
      </c>
      <c r="AG1" s="308" t="s">
        <v>251</v>
      </c>
      <c r="AH1" s="309"/>
      <c r="AI1" s="310"/>
      <c r="AJ1" s="54"/>
      <c r="AK1" s="55" t="s">
        <v>220</v>
      </c>
      <c r="AL1" s="56" t="s">
        <v>221</v>
      </c>
      <c r="AM1" s="56" t="s">
        <v>222</v>
      </c>
      <c r="AN1" s="56" t="s">
        <v>223</v>
      </c>
      <c r="AO1" s="57" t="s">
        <v>85</v>
      </c>
      <c r="AP1" s="2"/>
      <c r="AQ1" s="58" t="s">
        <v>227</v>
      </c>
      <c r="AR1" s="59" t="s">
        <v>228</v>
      </c>
      <c r="AS1" s="60"/>
    </row>
    <row r="2" spans="1:45" s="74" customFormat="1" ht="16.5" x14ac:dyDescent="0.25">
      <c r="A2" s="61"/>
      <c r="B2" s="61"/>
      <c r="C2" s="62" t="s">
        <v>2</v>
      </c>
      <c r="D2" s="63"/>
      <c r="E2" s="63"/>
      <c r="F2" s="62"/>
      <c r="G2" s="64">
        <v>1</v>
      </c>
      <c r="H2" s="64">
        <v>2</v>
      </c>
      <c r="I2" s="64" t="s">
        <v>93</v>
      </c>
      <c r="J2" s="64" t="s">
        <v>94</v>
      </c>
      <c r="K2" s="64" t="s">
        <v>95</v>
      </c>
      <c r="L2" s="64" t="s">
        <v>96</v>
      </c>
      <c r="M2" s="64" t="s">
        <v>97</v>
      </c>
      <c r="N2" s="64" t="s">
        <v>98</v>
      </c>
      <c r="O2" s="64" t="s">
        <v>99</v>
      </c>
      <c r="P2" s="64" t="s">
        <v>109</v>
      </c>
      <c r="Q2" s="64" t="s">
        <v>101</v>
      </c>
      <c r="R2" s="64" t="s">
        <v>100</v>
      </c>
      <c r="S2" s="64" t="s">
        <v>102</v>
      </c>
      <c r="T2" s="64" t="s">
        <v>103</v>
      </c>
      <c r="U2" s="64" t="s">
        <v>0</v>
      </c>
      <c r="V2" s="64" t="s">
        <v>1</v>
      </c>
      <c r="W2" s="64" t="s">
        <v>104</v>
      </c>
      <c r="X2" s="64" t="s">
        <v>105</v>
      </c>
      <c r="Y2" s="64" t="s">
        <v>106</v>
      </c>
      <c r="Z2" s="64"/>
      <c r="AA2" s="64"/>
      <c r="AB2" s="64" t="s">
        <v>107</v>
      </c>
      <c r="AC2" s="64" t="s">
        <v>108</v>
      </c>
      <c r="AD2" s="64" t="s">
        <v>85</v>
      </c>
      <c r="AE2" s="65" t="s">
        <v>86</v>
      </c>
      <c r="AF2" s="66"/>
      <c r="AG2" s="263" t="s">
        <v>185</v>
      </c>
      <c r="AH2" s="67" t="s">
        <v>225</v>
      </c>
      <c r="AI2" s="68" t="s">
        <v>186</v>
      </c>
      <c r="AJ2" s="69"/>
      <c r="AK2" s="70" t="s">
        <v>224</v>
      </c>
      <c r="AL2" s="71" t="s">
        <v>225</v>
      </c>
      <c r="AM2" s="71" t="s">
        <v>226</v>
      </c>
      <c r="AN2" s="66"/>
      <c r="AO2" s="72"/>
      <c r="AP2" s="66"/>
      <c r="AQ2" s="73"/>
      <c r="AR2" s="72"/>
    </row>
    <row r="3" spans="1:45" s="74" customFormat="1" x14ac:dyDescent="0.25">
      <c r="A3" s="61"/>
      <c r="B3" s="63" t="s">
        <v>117</v>
      </c>
      <c r="D3" s="63"/>
      <c r="E3" s="75"/>
      <c r="F3" s="62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5"/>
      <c r="AF3" s="66"/>
      <c r="AG3" s="76"/>
      <c r="AH3" s="77"/>
      <c r="AI3" s="78"/>
      <c r="AJ3" s="66"/>
      <c r="AK3" s="73"/>
      <c r="AL3" s="66"/>
      <c r="AM3" s="66"/>
      <c r="AN3" s="66"/>
      <c r="AO3" s="72"/>
      <c r="AP3" s="66"/>
      <c r="AQ3" s="73"/>
      <c r="AR3" s="72"/>
    </row>
    <row r="4" spans="1:45" s="90" customFormat="1" x14ac:dyDescent="0.25">
      <c r="A4" s="79"/>
      <c r="B4" s="79"/>
      <c r="C4" s="80" t="s">
        <v>112</v>
      </c>
      <c r="D4" s="81"/>
      <c r="E4" s="81"/>
      <c r="F4" s="81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3"/>
      <c r="AF4" s="66"/>
      <c r="AG4" s="84"/>
      <c r="AH4" s="85"/>
      <c r="AI4" s="86"/>
      <c r="AJ4" s="87"/>
      <c r="AK4" s="88"/>
      <c r="AL4" s="87"/>
      <c r="AM4" s="87"/>
      <c r="AN4" s="87"/>
      <c r="AO4" s="89"/>
      <c r="AP4" s="87"/>
      <c r="AQ4" s="88"/>
      <c r="AR4" s="89"/>
    </row>
    <row r="5" spans="1:45" s="90" customFormat="1" x14ac:dyDescent="0.25">
      <c r="A5" s="91" t="s">
        <v>187</v>
      </c>
      <c r="B5" s="91"/>
      <c r="C5" s="92" t="s">
        <v>74</v>
      </c>
      <c r="D5" s="81"/>
      <c r="E5" s="81"/>
      <c r="F5" s="93" t="s">
        <v>115</v>
      </c>
      <c r="G5" s="82"/>
      <c r="H5" s="82">
        <v>2</v>
      </c>
      <c r="I5" s="82"/>
      <c r="J5" s="82">
        <v>1</v>
      </c>
      <c r="K5" s="82"/>
      <c r="L5" s="82">
        <v>26</v>
      </c>
      <c r="M5" s="82">
        <v>4</v>
      </c>
      <c r="N5" s="82">
        <v>6</v>
      </c>
      <c r="O5" s="82"/>
      <c r="P5" s="82">
        <v>3</v>
      </c>
      <c r="Q5" s="82">
        <v>6</v>
      </c>
      <c r="R5" s="82">
        <v>15</v>
      </c>
      <c r="S5" s="82">
        <v>242</v>
      </c>
      <c r="T5" s="82">
        <v>13</v>
      </c>
      <c r="U5" s="82">
        <v>94</v>
      </c>
      <c r="V5" s="82">
        <v>420</v>
      </c>
      <c r="W5" s="82">
        <v>4976</v>
      </c>
      <c r="X5" s="82">
        <v>293</v>
      </c>
      <c r="Y5" s="82">
        <v>1474</v>
      </c>
      <c r="Z5" s="82"/>
      <c r="AA5" s="82"/>
      <c r="AB5" s="82"/>
      <c r="AC5" s="82"/>
      <c r="AD5" s="94">
        <f t="shared" ref="AD5:AD11" si="0">SUM(G5:AC5)</f>
        <v>7575</v>
      </c>
      <c r="AE5" s="83"/>
      <c r="AF5" s="66"/>
      <c r="AG5" s="84">
        <f t="shared" ref="AG5:AG11" si="1">CORREL(L5:Y5,L$7:Y$7)</f>
        <v>0.99885362408902978</v>
      </c>
      <c r="AH5" s="85">
        <f>CORREL(L5:U5,L$7:U$7)</f>
        <v>0.6956272260427121</v>
      </c>
      <c r="AI5" s="86">
        <f>CORREL(V5:Y5,V$7:Y$7)</f>
        <v>0.99958092085439954</v>
      </c>
      <c r="AJ5" s="95"/>
      <c r="AK5" s="96">
        <f t="shared" ref="AK5:AK11" si="2">SUM(G5:K5)</f>
        <v>3</v>
      </c>
      <c r="AL5" s="94">
        <f t="shared" ref="AL5:AL11" si="3">SUM(L5:U5)</f>
        <v>409</v>
      </c>
      <c r="AM5" s="94">
        <f t="shared" ref="AM5:AM11" si="4">SUM(V5:Y5)</f>
        <v>7163</v>
      </c>
      <c r="AN5" s="94">
        <f t="shared" ref="AN5:AN11" si="5">SUM(Z5:AC5)</f>
        <v>0</v>
      </c>
      <c r="AO5" s="97">
        <f>SUM(AK5:AN5)</f>
        <v>7575</v>
      </c>
      <c r="AP5" s="87"/>
      <c r="AQ5" s="28">
        <f t="shared" ref="AQ5:AQ11" si="6">IF(SUM(M5:O5)=0,0,SUM(M5:O5)/SUM(L5:O5))</f>
        <v>0.27777777777777779</v>
      </c>
      <c r="AR5" s="29">
        <f t="shared" ref="AR5:AR11" si="7">IF(SUM(Q5:R5)=0,0,SUM(Q5:R5)/SUM(P5:U5))</f>
        <v>5.6300268096514748E-2</v>
      </c>
    </row>
    <row r="6" spans="1:45" s="90" customFormat="1" x14ac:dyDescent="0.25">
      <c r="A6" s="91" t="s">
        <v>188</v>
      </c>
      <c r="B6" s="91"/>
      <c r="C6" s="92" t="s">
        <v>113</v>
      </c>
      <c r="D6" s="81"/>
      <c r="E6" s="81"/>
      <c r="F6" s="93" t="s">
        <v>115</v>
      </c>
      <c r="G6" s="82"/>
      <c r="H6" s="82">
        <v>2</v>
      </c>
      <c r="I6" s="82"/>
      <c r="J6" s="82">
        <v>1</v>
      </c>
      <c r="K6" s="82"/>
      <c r="L6" s="82">
        <v>26</v>
      </c>
      <c r="M6" s="82">
        <v>4</v>
      </c>
      <c r="N6" s="82">
        <v>6</v>
      </c>
      <c r="O6" s="82"/>
      <c r="P6" s="82">
        <v>3</v>
      </c>
      <c r="Q6" s="82">
        <v>6</v>
      </c>
      <c r="R6" s="82">
        <v>15</v>
      </c>
      <c r="S6" s="82">
        <v>208</v>
      </c>
      <c r="T6" s="82">
        <v>12</v>
      </c>
      <c r="U6" s="82">
        <v>84</v>
      </c>
      <c r="V6" s="82">
        <v>231</v>
      </c>
      <c r="W6" s="82">
        <v>3576</v>
      </c>
      <c r="X6" s="82">
        <v>175</v>
      </c>
      <c r="Y6" s="82">
        <v>1103</v>
      </c>
      <c r="Z6" s="82"/>
      <c r="AA6" s="82"/>
      <c r="AB6" s="82"/>
      <c r="AC6" s="82"/>
      <c r="AD6" s="94">
        <f t="shared" si="0"/>
        <v>5452</v>
      </c>
      <c r="AE6" s="83"/>
      <c r="AF6" s="66"/>
      <c r="AG6" s="84">
        <f t="shared" si="1"/>
        <v>0.99858231018777766</v>
      </c>
      <c r="AH6" s="85">
        <f t="shared" ref="AH6:AH11" si="8">CORREL(L6:U6,L$7:U$7)</f>
        <v>0.70195513488880867</v>
      </c>
      <c r="AI6" s="86">
        <f t="shared" ref="AI6:AI10" si="9">CORREL(V6:Y6,V$7:Y$7)</f>
        <v>0.99938799320549121</v>
      </c>
      <c r="AJ6" s="95"/>
      <c r="AK6" s="96">
        <f t="shared" si="2"/>
        <v>3</v>
      </c>
      <c r="AL6" s="94">
        <f t="shared" si="3"/>
        <v>364</v>
      </c>
      <c r="AM6" s="94">
        <f t="shared" si="4"/>
        <v>5085</v>
      </c>
      <c r="AN6" s="94">
        <f t="shared" si="5"/>
        <v>0</v>
      </c>
      <c r="AO6" s="97">
        <f t="shared" ref="AO6:AO11" si="10">SUM(AK6:AN6)</f>
        <v>5452</v>
      </c>
      <c r="AP6" s="87"/>
      <c r="AQ6" s="28">
        <f t="shared" si="6"/>
        <v>0.27777777777777779</v>
      </c>
      <c r="AR6" s="29">
        <f t="shared" si="7"/>
        <v>6.402439024390244E-2</v>
      </c>
    </row>
    <row r="7" spans="1:45" s="90" customFormat="1" x14ac:dyDescent="0.25">
      <c r="A7" s="91" t="s">
        <v>189</v>
      </c>
      <c r="B7" s="91"/>
      <c r="C7" s="92" t="s">
        <v>111</v>
      </c>
      <c r="D7" s="81"/>
      <c r="E7" s="81"/>
      <c r="F7" s="93" t="s">
        <v>116</v>
      </c>
      <c r="G7" s="82"/>
      <c r="H7" s="82"/>
      <c r="I7" s="82"/>
      <c r="J7" s="82"/>
      <c r="K7" s="82"/>
      <c r="L7" s="82">
        <v>2</v>
      </c>
      <c r="M7" s="82"/>
      <c r="N7" s="82"/>
      <c r="O7" s="82"/>
      <c r="P7" s="82"/>
      <c r="Q7" s="82"/>
      <c r="R7" s="82"/>
      <c r="S7" s="82">
        <v>15</v>
      </c>
      <c r="T7" s="82">
        <v>2</v>
      </c>
      <c r="U7" s="82">
        <v>19</v>
      </c>
      <c r="V7" s="82">
        <v>124</v>
      </c>
      <c r="W7" s="82">
        <v>2994</v>
      </c>
      <c r="X7" s="82">
        <v>141</v>
      </c>
      <c r="Y7" s="82">
        <v>817</v>
      </c>
      <c r="Z7" s="82"/>
      <c r="AA7" s="82"/>
      <c r="AB7" s="82"/>
      <c r="AC7" s="82"/>
      <c r="AD7" s="94">
        <f t="shared" si="0"/>
        <v>4114</v>
      </c>
      <c r="AE7" s="83"/>
      <c r="AF7" s="87"/>
      <c r="AG7" s="84">
        <f t="shared" si="1"/>
        <v>1.0000000000000002</v>
      </c>
      <c r="AH7" s="85">
        <f t="shared" si="8"/>
        <v>1.0000000000000002</v>
      </c>
      <c r="AI7" s="86">
        <f t="shared" si="9"/>
        <v>0.99999999999999978</v>
      </c>
      <c r="AJ7" s="95"/>
      <c r="AK7" s="96">
        <f t="shared" si="2"/>
        <v>0</v>
      </c>
      <c r="AL7" s="94">
        <f t="shared" si="3"/>
        <v>38</v>
      </c>
      <c r="AM7" s="94">
        <f t="shared" si="4"/>
        <v>4076</v>
      </c>
      <c r="AN7" s="94">
        <f t="shared" si="5"/>
        <v>0</v>
      </c>
      <c r="AO7" s="97">
        <f t="shared" si="10"/>
        <v>4114</v>
      </c>
      <c r="AP7" s="87"/>
      <c r="AQ7" s="28">
        <f t="shared" si="6"/>
        <v>0</v>
      </c>
      <c r="AR7" s="29">
        <f t="shared" si="7"/>
        <v>0</v>
      </c>
    </row>
    <row r="8" spans="1:45" s="90" customFormat="1" x14ac:dyDescent="0.25">
      <c r="A8" s="91" t="s">
        <v>190</v>
      </c>
      <c r="B8" s="91"/>
      <c r="C8" s="92" t="s">
        <v>119</v>
      </c>
      <c r="D8" s="81"/>
      <c r="E8" s="81"/>
      <c r="F8" s="93" t="s">
        <v>36</v>
      </c>
      <c r="G8" s="82"/>
      <c r="H8" s="82">
        <f>+H5-H7</f>
        <v>2</v>
      </c>
      <c r="I8" s="82"/>
      <c r="J8" s="82">
        <f t="shared" ref="J8:T8" si="11">+J5-J7</f>
        <v>1</v>
      </c>
      <c r="K8" s="82"/>
      <c r="L8" s="98">
        <f t="shared" si="11"/>
        <v>24</v>
      </c>
      <c r="M8" s="98">
        <f t="shared" si="11"/>
        <v>4</v>
      </c>
      <c r="N8" s="98">
        <f t="shared" si="11"/>
        <v>6</v>
      </c>
      <c r="O8" s="98"/>
      <c r="P8" s="98">
        <f t="shared" si="11"/>
        <v>3</v>
      </c>
      <c r="Q8" s="98">
        <f t="shared" si="11"/>
        <v>6</v>
      </c>
      <c r="R8" s="98">
        <f t="shared" si="11"/>
        <v>15</v>
      </c>
      <c r="S8" s="98">
        <v>224</v>
      </c>
      <c r="T8" s="98">
        <f t="shared" si="11"/>
        <v>11</v>
      </c>
      <c r="U8" s="98">
        <v>74</v>
      </c>
      <c r="V8" s="98">
        <v>294</v>
      </c>
      <c r="W8" s="98">
        <v>1940</v>
      </c>
      <c r="X8" s="98">
        <v>149</v>
      </c>
      <c r="Y8" s="98">
        <v>612</v>
      </c>
      <c r="Z8" s="82"/>
      <c r="AA8" s="82"/>
      <c r="AB8" s="82"/>
      <c r="AC8" s="82"/>
      <c r="AD8" s="94">
        <f t="shared" si="0"/>
        <v>3365</v>
      </c>
      <c r="AE8" s="83"/>
      <c r="AF8" s="87"/>
      <c r="AG8" s="84">
        <f t="shared" si="1"/>
        <v>0.99242555729344795</v>
      </c>
      <c r="AH8" s="85">
        <f t="shared" si="8"/>
        <v>0.64759299638548573</v>
      </c>
      <c r="AI8" s="86">
        <f t="shared" si="9"/>
        <v>0.99691150398498307</v>
      </c>
      <c r="AJ8" s="95"/>
      <c r="AK8" s="96">
        <f t="shared" si="2"/>
        <v>3</v>
      </c>
      <c r="AL8" s="94">
        <f t="shared" si="3"/>
        <v>367</v>
      </c>
      <c r="AM8" s="94">
        <f t="shared" si="4"/>
        <v>2995</v>
      </c>
      <c r="AN8" s="94">
        <f t="shared" si="5"/>
        <v>0</v>
      </c>
      <c r="AO8" s="97">
        <f t="shared" si="10"/>
        <v>3365</v>
      </c>
      <c r="AP8" s="87"/>
      <c r="AQ8" s="28">
        <f t="shared" si="6"/>
        <v>0.29411764705882354</v>
      </c>
      <c r="AR8" s="29">
        <f t="shared" si="7"/>
        <v>6.3063063063063057E-2</v>
      </c>
    </row>
    <row r="9" spans="1:45" s="90" customFormat="1" x14ac:dyDescent="0.25">
      <c r="A9" s="91" t="s">
        <v>191</v>
      </c>
      <c r="B9" s="91"/>
      <c r="C9" s="92" t="s">
        <v>114</v>
      </c>
      <c r="D9" s="81"/>
      <c r="E9" s="81"/>
      <c r="F9" s="93" t="s">
        <v>36</v>
      </c>
      <c r="G9" s="82"/>
      <c r="H9" s="82"/>
      <c r="I9" s="82"/>
      <c r="J9" s="82"/>
      <c r="K9" s="82"/>
      <c r="L9" s="98"/>
      <c r="M9" s="98"/>
      <c r="N9" s="98"/>
      <c r="O9" s="98"/>
      <c r="P9" s="98"/>
      <c r="Q9" s="98"/>
      <c r="R9" s="98"/>
      <c r="S9" s="98">
        <v>34</v>
      </c>
      <c r="T9" s="98">
        <v>1</v>
      </c>
      <c r="U9" s="98">
        <v>10</v>
      </c>
      <c r="V9" s="98">
        <v>189</v>
      </c>
      <c r="W9" s="98">
        <v>1400</v>
      </c>
      <c r="X9" s="98">
        <v>118</v>
      </c>
      <c r="Y9" s="98">
        <v>371</v>
      </c>
      <c r="Z9" s="82"/>
      <c r="AA9" s="82"/>
      <c r="AB9" s="82"/>
      <c r="AC9" s="82"/>
      <c r="AD9" s="94">
        <f t="shared" si="0"/>
        <v>2123</v>
      </c>
      <c r="AE9" s="83"/>
      <c r="AF9" s="87"/>
      <c r="AG9" s="84">
        <f t="shared" si="1"/>
        <v>0.99548752897807136</v>
      </c>
      <c r="AH9" s="85">
        <f t="shared" si="8"/>
        <v>0.53422594841197568</v>
      </c>
      <c r="AI9" s="86">
        <f t="shared" si="9"/>
        <v>0.99628874183372917</v>
      </c>
      <c r="AJ9" s="95"/>
      <c r="AK9" s="96">
        <f t="shared" si="2"/>
        <v>0</v>
      </c>
      <c r="AL9" s="94">
        <f t="shared" si="3"/>
        <v>45</v>
      </c>
      <c r="AM9" s="94">
        <f t="shared" si="4"/>
        <v>2078</v>
      </c>
      <c r="AN9" s="94">
        <f t="shared" si="5"/>
        <v>0</v>
      </c>
      <c r="AO9" s="97">
        <f t="shared" si="10"/>
        <v>2123</v>
      </c>
      <c r="AP9" s="87"/>
      <c r="AQ9" s="28">
        <f t="shared" si="6"/>
        <v>0</v>
      </c>
      <c r="AR9" s="29">
        <f t="shared" si="7"/>
        <v>0</v>
      </c>
    </row>
    <row r="10" spans="1:45" s="90" customFormat="1" ht="15.75" thickBot="1" x14ac:dyDescent="0.3">
      <c r="A10" s="91" t="s">
        <v>192</v>
      </c>
      <c r="B10" s="91"/>
      <c r="C10" s="92" t="s">
        <v>253</v>
      </c>
      <c r="D10" s="81"/>
      <c r="E10" s="81"/>
      <c r="F10" s="93" t="s">
        <v>36</v>
      </c>
      <c r="G10" s="99"/>
      <c r="H10" s="99">
        <v>2</v>
      </c>
      <c r="I10" s="99"/>
      <c r="J10" s="99">
        <v>1</v>
      </c>
      <c r="K10" s="99"/>
      <c r="L10" s="100">
        <v>24</v>
      </c>
      <c r="M10" s="100">
        <v>4</v>
      </c>
      <c r="N10" s="100">
        <v>6</v>
      </c>
      <c r="O10" s="100"/>
      <c r="P10" s="100">
        <v>3</v>
      </c>
      <c r="Q10" s="100">
        <v>6</v>
      </c>
      <c r="R10" s="100">
        <v>15</v>
      </c>
      <c r="S10" s="100">
        <v>190</v>
      </c>
      <c r="T10" s="100">
        <v>10</v>
      </c>
      <c r="U10" s="100">
        <v>64</v>
      </c>
      <c r="V10" s="100">
        <v>105</v>
      </c>
      <c r="W10" s="100">
        <v>540</v>
      </c>
      <c r="X10" s="100">
        <v>31</v>
      </c>
      <c r="Y10" s="100">
        <v>241</v>
      </c>
      <c r="Z10" s="99"/>
      <c r="AA10" s="99"/>
      <c r="AB10" s="99"/>
      <c r="AC10" s="99"/>
      <c r="AD10" s="99">
        <f t="shared" si="0"/>
        <v>1242</v>
      </c>
      <c r="AE10" s="83"/>
      <c r="AF10" s="87"/>
      <c r="AG10" s="101">
        <f t="shared" si="1"/>
        <v>0.94081357515996344</v>
      </c>
      <c r="AH10" s="102">
        <f t="shared" si="8"/>
        <v>0.64542028328361156</v>
      </c>
      <c r="AI10" s="103">
        <f t="shared" si="9"/>
        <v>0.98124266535814608</v>
      </c>
      <c r="AJ10" s="95"/>
      <c r="AK10" s="104">
        <f t="shared" si="2"/>
        <v>3</v>
      </c>
      <c r="AL10" s="99">
        <f t="shared" si="3"/>
        <v>322</v>
      </c>
      <c r="AM10" s="99">
        <f t="shared" si="4"/>
        <v>917</v>
      </c>
      <c r="AN10" s="99">
        <f t="shared" si="5"/>
        <v>0</v>
      </c>
      <c r="AO10" s="105">
        <f t="shared" si="10"/>
        <v>1242</v>
      </c>
      <c r="AP10" s="87"/>
      <c r="AQ10" s="26">
        <f t="shared" si="6"/>
        <v>0.29411764705882354</v>
      </c>
      <c r="AR10" s="27">
        <f t="shared" si="7"/>
        <v>7.2916666666666671E-2</v>
      </c>
    </row>
    <row r="11" spans="1:45" s="90" customFormat="1" ht="16.5" thickTop="1" thickBot="1" x14ac:dyDescent="0.3">
      <c r="A11" s="91" t="s">
        <v>194</v>
      </c>
      <c r="B11" s="91"/>
      <c r="C11" s="92" t="s">
        <v>195</v>
      </c>
      <c r="D11" s="81"/>
      <c r="E11" s="81"/>
      <c r="F11" s="93" t="s">
        <v>36</v>
      </c>
      <c r="G11" s="94"/>
      <c r="H11" s="94"/>
      <c r="I11" s="94"/>
      <c r="J11" s="94"/>
      <c r="K11" s="94"/>
      <c r="L11" s="106">
        <v>1</v>
      </c>
      <c r="M11" s="106">
        <v>1</v>
      </c>
      <c r="N11" s="106">
        <v>6</v>
      </c>
      <c r="O11" s="106">
        <v>2</v>
      </c>
      <c r="P11" s="106">
        <v>1</v>
      </c>
      <c r="Q11" s="106">
        <v>8</v>
      </c>
      <c r="R11" s="106">
        <v>6</v>
      </c>
      <c r="S11" s="106">
        <v>13</v>
      </c>
      <c r="T11" s="106">
        <v>3</v>
      </c>
      <c r="U11" s="106">
        <v>11</v>
      </c>
      <c r="V11" s="106">
        <v>14</v>
      </c>
      <c r="W11" s="106">
        <v>26</v>
      </c>
      <c r="X11" s="106">
        <v>6</v>
      </c>
      <c r="Y11" s="106">
        <v>3</v>
      </c>
      <c r="Z11" s="106"/>
      <c r="AA11" s="106">
        <v>1</v>
      </c>
      <c r="AB11" s="106"/>
      <c r="AC11" s="106">
        <v>1</v>
      </c>
      <c r="AD11" s="106">
        <f t="shared" si="0"/>
        <v>103</v>
      </c>
      <c r="AE11" s="83"/>
      <c r="AF11" s="87" t="s">
        <v>199</v>
      </c>
      <c r="AG11" s="107">
        <f t="shared" si="1"/>
        <v>0.72883488209416536</v>
      </c>
      <c r="AH11" s="108">
        <f t="shared" si="8"/>
        <v>0.93790364920909453</v>
      </c>
      <c r="AI11" s="109">
        <f t="shared" ref="AI11" si="12">CORREL(V11:Y11,V$7:Y$7)</f>
        <v>0.78838267742431678</v>
      </c>
      <c r="AJ11" s="95"/>
      <c r="AK11" s="96">
        <f t="shared" si="2"/>
        <v>0</v>
      </c>
      <c r="AL11" s="94">
        <f t="shared" si="3"/>
        <v>52</v>
      </c>
      <c r="AM11" s="94">
        <f t="shared" si="4"/>
        <v>49</v>
      </c>
      <c r="AN11" s="94">
        <f t="shared" si="5"/>
        <v>2</v>
      </c>
      <c r="AO11" s="97">
        <f t="shared" si="10"/>
        <v>103</v>
      </c>
      <c r="AP11" s="87"/>
      <c r="AQ11" s="28">
        <f t="shared" si="6"/>
        <v>0.9</v>
      </c>
      <c r="AR11" s="29">
        <f t="shared" si="7"/>
        <v>0.33333333333333331</v>
      </c>
    </row>
    <row r="12" spans="1:45" s="90" customFormat="1" ht="15.75" thickBot="1" x14ac:dyDescent="0.3">
      <c r="A12" s="79"/>
      <c r="B12" s="79"/>
      <c r="C12" s="110"/>
      <c r="D12" s="111"/>
      <c r="E12" s="111"/>
      <c r="F12" s="93"/>
      <c r="G12" s="112"/>
      <c r="H12" s="112"/>
      <c r="I12" s="112"/>
      <c r="J12" s="112"/>
      <c r="K12" s="112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2"/>
      <c r="AA12" s="112"/>
      <c r="AB12" s="112"/>
      <c r="AC12" s="112"/>
      <c r="AD12" s="94"/>
      <c r="AE12" s="114"/>
      <c r="AF12" s="66"/>
      <c r="AG12" s="115"/>
      <c r="AH12" s="115"/>
      <c r="AI12" s="115"/>
      <c r="AJ12" s="87"/>
      <c r="AK12" s="88"/>
      <c r="AL12" s="87"/>
      <c r="AM12" s="87"/>
      <c r="AN12" s="87"/>
      <c r="AO12" s="89"/>
      <c r="AP12" s="87"/>
      <c r="AQ12" s="116"/>
      <c r="AR12" s="117"/>
    </row>
    <row r="13" spans="1:45" s="90" customFormat="1" ht="43.9" customHeight="1" x14ac:dyDescent="0.25">
      <c r="A13" s="79"/>
      <c r="B13" s="63" t="s">
        <v>118</v>
      </c>
      <c r="D13" s="111"/>
      <c r="E13" s="111"/>
      <c r="F13" s="93"/>
      <c r="G13" s="112"/>
      <c r="H13" s="112"/>
      <c r="I13" s="112"/>
      <c r="J13" s="112"/>
      <c r="K13" s="112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2"/>
      <c r="AA13" s="112"/>
      <c r="AB13" s="112"/>
      <c r="AC13" s="112"/>
      <c r="AD13" s="94"/>
      <c r="AE13" s="114"/>
      <c r="AF13" s="66"/>
      <c r="AG13" s="308" t="s">
        <v>252</v>
      </c>
      <c r="AH13" s="309"/>
      <c r="AI13" s="310"/>
      <c r="AJ13" s="118"/>
      <c r="AK13" s="88"/>
      <c r="AL13" s="87"/>
      <c r="AM13" s="87"/>
      <c r="AN13" s="87"/>
      <c r="AO13" s="89"/>
      <c r="AP13" s="87"/>
      <c r="AQ13" s="116"/>
      <c r="AR13" s="117"/>
    </row>
    <row r="14" spans="1:45" s="90" customFormat="1" ht="16.5" x14ac:dyDescent="0.25">
      <c r="A14" s="79"/>
      <c r="B14" s="119">
        <v>1</v>
      </c>
      <c r="C14" s="80" t="s">
        <v>233</v>
      </c>
      <c r="D14" s="81"/>
      <c r="E14" s="81"/>
      <c r="F14" s="120"/>
      <c r="G14" s="82"/>
      <c r="H14" s="82"/>
      <c r="I14" s="82"/>
      <c r="J14" s="82"/>
      <c r="K14" s="82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82"/>
      <c r="AA14" s="82"/>
      <c r="AB14" s="82"/>
      <c r="AC14" s="82"/>
      <c r="AD14" s="82"/>
      <c r="AE14" s="83"/>
      <c r="AF14" s="66"/>
      <c r="AG14" s="263" t="s">
        <v>185</v>
      </c>
      <c r="AH14" s="67" t="s">
        <v>225</v>
      </c>
      <c r="AI14" s="68" t="s">
        <v>186</v>
      </c>
      <c r="AJ14" s="121"/>
      <c r="AK14" s="88"/>
      <c r="AL14" s="87"/>
      <c r="AM14" s="87"/>
      <c r="AN14" s="87"/>
      <c r="AO14" s="89"/>
      <c r="AP14" s="87"/>
      <c r="AQ14" s="116"/>
      <c r="AR14" s="117"/>
    </row>
    <row r="15" spans="1:45" s="90" customFormat="1" x14ac:dyDescent="0.25">
      <c r="A15" s="79"/>
      <c r="B15" s="79"/>
      <c r="C15" s="122" t="s">
        <v>229</v>
      </c>
      <c r="D15" s="81"/>
      <c r="E15" s="81"/>
      <c r="F15" s="120"/>
      <c r="G15" s="82"/>
      <c r="H15" s="82"/>
      <c r="I15" s="82"/>
      <c r="J15" s="82"/>
      <c r="K15" s="82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82"/>
      <c r="AA15" s="82"/>
      <c r="AB15" s="82"/>
      <c r="AC15" s="82"/>
      <c r="AD15" s="82"/>
      <c r="AE15" s="83"/>
      <c r="AF15" s="66"/>
      <c r="AG15" s="84"/>
      <c r="AH15" s="85"/>
      <c r="AI15" s="86"/>
      <c r="AJ15" s="87"/>
      <c r="AK15" s="88"/>
      <c r="AL15" s="87"/>
      <c r="AM15" s="87"/>
      <c r="AN15" s="87"/>
      <c r="AO15" s="89"/>
      <c r="AP15" s="87"/>
      <c r="AQ15" s="116"/>
      <c r="AR15" s="117"/>
    </row>
    <row r="16" spans="1:45" s="90" customFormat="1" x14ac:dyDescent="0.25">
      <c r="A16" s="123">
        <v>1</v>
      </c>
      <c r="B16" s="79">
        <f>+B14+0.01</f>
        <v>1.01</v>
      </c>
      <c r="C16" s="111" t="s">
        <v>49</v>
      </c>
      <c r="D16" s="111" t="s">
        <v>72</v>
      </c>
      <c r="E16" s="111"/>
      <c r="F16" s="93" t="s">
        <v>36</v>
      </c>
      <c r="G16" s="82"/>
      <c r="H16" s="82"/>
      <c r="I16" s="82"/>
      <c r="J16" s="82"/>
      <c r="K16" s="82"/>
      <c r="L16" s="98"/>
      <c r="M16" s="98">
        <v>1</v>
      </c>
      <c r="N16" s="98">
        <v>4</v>
      </c>
      <c r="O16" s="98"/>
      <c r="P16" s="98">
        <v>5</v>
      </c>
      <c r="Q16" s="98">
        <v>2</v>
      </c>
      <c r="R16" s="98">
        <v>8</v>
      </c>
      <c r="S16" s="98">
        <v>4</v>
      </c>
      <c r="T16" s="98">
        <v>2</v>
      </c>
      <c r="U16" s="98">
        <v>1</v>
      </c>
      <c r="V16" s="98">
        <v>1</v>
      </c>
      <c r="W16" s="98">
        <v>11</v>
      </c>
      <c r="X16" s="98"/>
      <c r="Y16" s="98">
        <v>7</v>
      </c>
      <c r="Z16" s="82"/>
      <c r="AA16" s="82"/>
      <c r="AB16" s="82"/>
      <c r="AC16" s="82">
        <v>2</v>
      </c>
      <c r="AD16" s="82">
        <f t="shared" ref="AD16:AD18" si="13">SUM(G16:AC16)</f>
        <v>48</v>
      </c>
      <c r="AE16" s="83" t="s">
        <v>37</v>
      </c>
      <c r="AF16" s="66"/>
      <c r="AG16" s="84">
        <f>CORREL(L16:Y16,L$10:Y$10)</f>
        <v>0.69341452873332476</v>
      </c>
      <c r="AH16" s="85">
        <f>CORREL(L16:U16,L$10:U$10)</f>
        <v>1.2213095253005941E-2</v>
      </c>
      <c r="AI16" s="86">
        <f>CORREL(V16:Y16,V$10:Y$10)</f>
        <v>0.94668275488790798</v>
      </c>
      <c r="AJ16" s="95"/>
      <c r="AK16" s="96">
        <f>SUM(G16:K16)</f>
        <v>0</v>
      </c>
      <c r="AL16" s="94">
        <f>SUM(L16:U16)</f>
        <v>27</v>
      </c>
      <c r="AM16" s="94">
        <f>SUM(V16:Y16)</f>
        <v>19</v>
      </c>
      <c r="AN16" s="94">
        <f>SUM(Z16:AC16)</f>
        <v>2</v>
      </c>
      <c r="AO16" s="97">
        <f t="shared" ref="AO16:AO19" si="14">SUM(AK16:AN16)</f>
        <v>48</v>
      </c>
      <c r="AP16" s="87"/>
      <c r="AQ16" s="28">
        <f>IF(SUM(M16:O16)=0,0,SUM(M16:O16)/SUM(L16:O16))</f>
        <v>1</v>
      </c>
      <c r="AR16" s="29">
        <f>IF(SUM(Q16:R16)=0,0,SUM(Q16:R16)/SUM(P16:U16))</f>
        <v>0.45454545454545453</v>
      </c>
    </row>
    <row r="17" spans="1:44" s="90" customFormat="1" x14ac:dyDescent="0.25">
      <c r="A17" s="123">
        <f>+A16+1</f>
        <v>2</v>
      </c>
      <c r="B17" s="79">
        <f>+B16+0.01</f>
        <v>1.02</v>
      </c>
      <c r="C17" s="111" t="s">
        <v>302</v>
      </c>
      <c r="D17" s="111" t="s">
        <v>72</v>
      </c>
      <c r="E17" s="111"/>
      <c r="F17" s="93" t="s">
        <v>36</v>
      </c>
      <c r="G17" s="82"/>
      <c r="H17" s="82"/>
      <c r="I17" s="82"/>
      <c r="J17" s="82">
        <v>3</v>
      </c>
      <c r="K17" s="82"/>
      <c r="L17" s="82"/>
      <c r="M17" s="82"/>
      <c r="N17" s="82"/>
      <c r="O17" s="82"/>
      <c r="P17" s="82"/>
      <c r="Q17" s="82"/>
      <c r="R17" s="82"/>
      <c r="S17" s="82">
        <v>15</v>
      </c>
      <c r="T17" s="82">
        <v>2</v>
      </c>
      <c r="U17" s="82">
        <v>4</v>
      </c>
      <c r="V17" s="82">
        <v>10</v>
      </c>
      <c r="W17" s="82">
        <v>32</v>
      </c>
      <c r="X17" s="82">
        <v>3</v>
      </c>
      <c r="Y17" s="82">
        <v>9</v>
      </c>
      <c r="Z17" s="82"/>
      <c r="AA17" s="82">
        <v>1</v>
      </c>
      <c r="AB17" s="82"/>
      <c r="AC17" s="82">
        <v>1</v>
      </c>
      <c r="AD17" s="82">
        <f t="shared" si="13"/>
        <v>80</v>
      </c>
      <c r="AE17" s="83" t="s">
        <v>39</v>
      </c>
      <c r="AF17" s="124" t="s">
        <v>208</v>
      </c>
      <c r="AG17" s="84">
        <f>CORREL(L17:Y17,L$10:Y$10)</f>
        <v>0.95990264356866495</v>
      </c>
      <c r="AH17" s="85">
        <f t="shared" ref="AH17:AH75" si="15">CORREL(L17:U17,L$10:U$10)</f>
        <v>0.98827405660233836</v>
      </c>
      <c r="AI17" s="86">
        <f>CORREL(V17:Y17,V$10:Y$10)</f>
        <v>0.95824685365959528</v>
      </c>
      <c r="AJ17" s="95"/>
      <c r="AK17" s="96">
        <f>SUM(G17:K17)</f>
        <v>3</v>
      </c>
      <c r="AL17" s="94">
        <f>SUM(L17:U17)</f>
        <v>21</v>
      </c>
      <c r="AM17" s="94">
        <f>SUM(V17:Y17)</f>
        <v>54</v>
      </c>
      <c r="AN17" s="94">
        <f>SUM(Z17:AC17)</f>
        <v>2</v>
      </c>
      <c r="AO17" s="97">
        <f t="shared" si="14"/>
        <v>80</v>
      </c>
      <c r="AP17" s="87"/>
      <c r="AQ17" s="28">
        <f>IF(SUM(M17:O17)=0,0,SUM(M17:O17)/SUM(L17:O17))</f>
        <v>0</v>
      </c>
      <c r="AR17" s="29">
        <f>IF(SUM(Q17:R17)=0,0,SUM(Q17:R17)/SUM(P17:U17))</f>
        <v>0</v>
      </c>
    </row>
    <row r="18" spans="1:44" s="90" customFormat="1" x14ac:dyDescent="0.25">
      <c r="A18" s="123">
        <f>+A17+1</f>
        <v>3</v>
      </c>
      <c r="B18" s="79">
        <f t="shared" ref="B18" si="16">+B17+0.01</f>
        <v>1.03</v>
      </c>
      <c r="C18" s="111" t="s">
        <v>303</v>
      </c>
      <c r="D18" s="111" t="s">
        <v>72</v>
      </c>
      <c r="E18" s="111"/>
      <c r="F18" s="93" t="s">
        <v>36</v>
      </c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>
        <v>10</v>
      </c>
      <c r="T18" s="82"/>
      <c r="U18" s="82"/>
      <c r="V18" s="82">
        <v>2</v>
      </c>
      <c r="W18" s="82">
        <v>21</v>
      </c>
      <c r="X18" s="82">
        <v>1</v>
      </c>
      <c r="Y18" s="82">
        <v>2</v>
      </c>
      <c r="Z18" s="82"/>
      <c r="AA18" s="82"/>
      <c r="AB18" s="82"/>
      <c r="AC18" s="82"/>
      <c r="AD18" s="82">
        <f t="shared" si="13"/>
        <v>36</v>
      </c>
      <c r="AE18" s="83" t="s">
        <v>43</v>
      </c>
      <c r="AF18" s="66"/>
      <c r="AG18" s="84">
        <f>CORREL(L18:Y18,L$10:Y$10)</f>
        <v>0.89935467288472626</v>
      </c>
      <c r="AH18" s="85"/>
      <c r="AI18" s="86">
        <f>CORREL(V18:Y18,V$10:Y$10)</f>
        <v>0.93546494316288575</v>
      </c>
      <c r="AJ18" s="95"/>
      <c r="AK18" s="96">
        <f>SUM(G18:K18)</f>
        <v>0</v>
      </c>
      <c r="AL18" s="94">
        <f>SUM(L18:U18)</f>
        <v>10</v>
      </c>
      <c r="AM18" s="94">
        <f>SUM(V18:Y18)</f>
        <v>26</v>
      </c>
      <c r="AN18" s="94">
        <f>SUM(Z18:AC18)</f>
        <v>0</v>
      </c>
      <c r="AO18" s="97">
        <f t="shared" si="14"/>
        <v>36</v>
      </c>
      <c r="AP18" s="87"/>
      <c r="AQ18" s="28">
        <f>IF(SUM(M18:O18)=0,0,SUM(M18:O18)/SUM(L18:O18))</f>
        <v>0</v>
      </c>
      <c r="AR18" s="29">
        <f>IF(SUM(Q18:R18)=0,0,SUM(Q18:R18)/SUM(P18:U18))</f>
        <v>0</v>
      </c>
    </row>
    <row r="19" spans="1:44" s="90" customFormat="1" ht="15.75" thickBot="1" x14ac:dyDescent="0.25">
      <c r="A19" s="79"/>
      <c r="B19" s="79"/>
      <c r="C19" s="125" t="s">
        <v>230</v>
      </c>
      <c r="D19" s="111"/>
      <c r="F19" s="93"/>
      <c r="G19" s="126">
        <f>SUM(G16:G18)</f>
        <v>0</v>
      </c>
      <c r="H19" s="126">
        <f t="shared" ref="H19:AD19" si="17">SUM(H16:H18)</f>
        <v>0</v>
      </c>
      <c r="I19" s="126">
        <f t="shared" si="17"/>
        <v>0</v>
      </c>
      <c r="J19" s="126">
        <f t="shared" si="17"/>
        <v>3</v>
      </c>
      <c r="K19" s="126">
        <f t="shared" si="17"/>
        <v>0</v>
      </c>
      <c r="L19" s="126">
        <f t="shared" si="17"/>
        <v>0</v>
      </c>
      <c r="M19" s="126">
        <f t="shared" si="17"/>
        <v>1</v>
      </c>
      <c r="N19" s="126">
        <f t="shared" si="17"/>
        <v>4</v>
      </c>
      <c r="O19" s="126">
        <f t="shared" si="17"/>
        <v>0</v>
      </c>
      <c r="P19" s="126">
        <f t="shared" si="17"/>
        <v>5</v>
      </c>
      <c r="Q19" s="126">
        <f t="shared" si="17"/>
        <v>2</v>
      </c>
      <c r="R19" s="126">
        <f t="shared" si="17"/>
        <v>8</v>
      </c>
      <c r="S19" s="126">
        <f t="shared" si="17"/>
        <v>29</v>
      </c>
      <c r="T19" s="126">
        <f t="shared" si="17"/>
        <v>4</v>
      </c>
      <c r="U19" s="126">
        <f t="shared" si="17"/>
        <v>5</v>
      </c>
      <c r="V19" s="126">
        <f t="shared" si="17"/>
        <v>13</v>
      </c>
      <c r="W19" s="126">
        <f t="shared" si="17"/>
        <v>64</v>
      </c>
      <c r="X19" s="126">
        <f t="shared" si="17"/>
        <v>4</v>
      </c>
      <c r="Y19" s="126">
        <f t="shared" si="17"/>
        <v>18</v>
      </c>
      <c r="Z19" s="126">
        <f t="shared" si="17"/>
        <v>0</v>
      </c>
      <c r="AA19" s="126">
        <f t="shared" si="17"/>
        <v>1</v>
      </c>
      <c r="AB19" s="126">
        <f t="shared" si="17"/>
        <v>0</v>
      </c>
      <c r="AC19" s="126">
        <f t="shared" si="17"/>
        <v>3</v>
      </c>
      <c r="AD19" s="126">
        <f t="shared" si="17"/>
        <v>164</v>
      </c>
      <c r="AE19" s="83"/>
      <c r="AF19" s="66"/>
      <c r="AG19" s="127">
        <f>CORREL(L19:Y19,L$10:Y$10)</f>
        <v>0.96933280891098339</v>
      </c>
      <c r="AH19" s="128">
        <f t="shared" si="15"/>
        <v>0.92687517835560296</v>
      </c>
      <c r="AI19" s="129">
        <f>CORREL(V19:Y19,V$10:Y$10)</f>
        <v>0.97933880608501489</v>
      </c>
      <c r="AJ19" s="130"/>
      <c r="AK19" s="131">
        <f>SUM(G19:K19)</f>
        <v>3</v>
      </c>
      <c r="AL19" s="126">
        <f>SUM(L19:U19)</f>
        <v>58</v>
      </c>
      <c r="AM19" s="126">
        <f>SUM(V19:Y19)</f>
        <v>99</v>
      </c>
      <c r="AN19" s="126">
        <f>SUM(Z19:AC19)</f>
        <v>4</v>
      </c>
      <c r="AO19" s="132">
        <f t="shared" si="14"/>
        <v>164</v>
      </c>
      <c r="AP19" s="87"/>
      <c r="AQ19" s="133">
        <f>IF(SUM(M19:O19)=0,0,SUM(M19:O19)/SUM(L19:O19))</f>
        <v>1</v>
      </c>
      <c r="AR19" s="134">
        <f>IF(SUM(Q19:R19)=0,0,SUM(Q19:R19)/SUM(P19:U19))</f>
        <v>0.18867924528301888</v>
      </c>
    </row>
    <row r="20" spans="1:44" s="90" customFormat="1" ht="15.75" thickTop="1" x14ac:dyDescent="0.25">
      <c r="A20" s="79"/>
      <c r="B20" s="79"/>
      <c r="C20" s="122" t="s">
        <v>265</v>
      </c>
      <c r="D20" s="111"/>
      <c r="F20" s="93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83"/>
      <c r="AF20" s="66"/>
      <c r="AG20" s="84"/>
      <c r="AH20" s="85"/>
      <c r="AI20" s="86"/>
      <c r="AJ20" s="95"/>
      <c r="AK20" s="96"/>
      <c r="AL20" s="94"/>
      <c r="AM20" s="94"/>
      <c r="AN20" s="94"/>
      <c r="AO20" s="97"/>
      <c r="AP20" s="87"/>
      <c r="AQ20" s="28"/>
      <c r="AR20" s="29"/>
    </row>
    <row r="21" spans="1:44" s="90" customFormat="1" x14ac:dyDescent="0.25">
      <c r="A21" s="123">
        <v>4</v>
      </c>
      <c r="B21" s="79">
        <f>+B18+0.01</f>
        <v>1.04</v>
      </c>
      <c r="C21" s="111" t="s">
        <v>73</v>
      </c>
      <c r="D21" s="111" t="s">
        <v>72</v>
      </c>
      <c r="E21" s="111"/>
      <c r="F21" s="93" t="s">
        <v>77</v>
      </c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>
        <v>5</v>
      </c>
      <c r="W21" s="82">
        <f>1433+19</f>
        <v>1452</v>
      </c>
      <c r="X21" s="82">
        <v>71</v>
      </c>
      <c r="Y21" s="82">
        <f>367-4</f>
        <v>363</v>
      </c>
      <c r="Z21" s="82"/>
      <c r="AA21" s="82"/>
      <c r="AB21" s="82"/>
      <c r="AC21" s="82"/>
      <c r="AD21" s="82">
        <f>SUM(G21:AC21)</f>
        <v>1891</v>
      </c>
      <c r="AE21" s="83">
        <v>1</v>
      </c>
      <c r="AF21" s="66"/>
      <c r="AG21" s="84">
        <f>CORREL(L21:Y21,L$10:Y$10)</f>
        <v>0.97439997371492948</v>
      </c>
      <c r="AH21" s="85"/>
      <c r="AI21" s="86">
        <f>CORREL(V21:Y21,V$10:Y$10)</f>
        <v>0.97439997371492948</v>
      </c>
      <c r="AJ21" s="95"/>
      <c r="AK21" s="96">
        <f>SUM(G21:K21)</f>
        <v>0</v>
      </c>
      <c r="AL21" s="94">
        <f>SUM(L21:U21)</f>
        <v>0</v>
      </c>
      <c r="AM21" s="94">
        <f>SUM(V21:Y21)</f>
        <v>1891</v>
      </c>
      <c r="AN21" s="94">
        <f>SUM(Z21:AC21)</f>
        <v>0</v>
      </c>
      <c r="AO21" s="97">
        <f>SUM(AK21:AN21)</f>
        <v>1891</v>
      </c>
      <c r="AP21" s="87"/>
      <c r="AQ21" s="28">
        <f>IF(SUM(M21:O21)=0,0,SUM(M21:O21)/SUM(L21:O21))</f>
        <v>0</v>
      </c>
      <c r="AR21" s="29">
        <f>IF(SUM(Q21:R21)=0,0,SUM(Q21:R21)/SUM(P21:U21))</f>
        <v>0</v>
      </c>
    </row>
    <row r="22" spans="1:44" s="90" customFormat="1" x14ac:dyDescent="0.25">
      <c r="A22" s="123">
        <v>5</v>
      </c>
      <c r="B22" s="79">
        <f>+B21+0.01</f>
        <v>1.05</v>
      </c>
      <c r="C22" s="136" t="s">
        <v>120</v>
      </c>
      <c r="D22" s="111" t="s">
        <v>61</v>
      </c>
      <c r="E22" s="90" t="s">
        <v>141</v>
      </c>
      <c r="F22" s="93" t="s">
        <v>181</v>
      </c>
      <c r="G22" s="82"/>
      <c r="H22" s="82"/>
      <c r="I22" s="82"/>
      <c r="J22" s="82"/>
      <c r="K22" s="82"/>
      <c r="L22" s="82"/>
      <c r="M22" s="82">
        <v>1</v>
      </c>
      <c r="N22" s="82"/>
      <c r="O22" s="82"/>
      <c r="P22" s="82"/>
      <c r="Q22" s="82"/>
      <c r="R22" s="82"/>
      <c r="S22" s="82"/>
      <c r="T22" s="82"/>
      <c r="U22" s="82"/>
      <c r="V22" s="82">
        <v>33</v>
      </c>
      <c r="W22" s="82">
        <f>1332-5</f>
        <v>1327</v>
      </c>
      <c r="X22" s="82">
        <v>65</v>
      </c>
      <c r="Y22" s="82">
        <f>404+3</f>
        <v>407</v>
      </c>
      <c r="Z22" s="82"/>
      <c r="AA22" s="82"/>
      <c r="AB22" s="82"/>
      <c r="AC22" s="82"/>
      <c r="AD22" s="82">
        <f>SUM(G22:AC22)</f>
        <v>1833</v>
      </c>
      <c r="AE22" s="83">
        <v>1</v>
      </c>
      <c r="AF22" s="66"/>
      <c r="AG22" s="84">
        <f>CORREL(L22:Y22,L$10:Y$10)</f>
        <v>0.98095221518114495</v>
      </c>
      <c r="AH22" s="85"/>
      <c r="AI22" s="86">
        <f>CORREL(V22:Y22,V$10:Y$10)</f>
        <v>0.98362634430535067</v>
      </c>
      <c r="AJ22" s="95"/>
      <c r="AK22" s="96">
        <f>SUM(G22:K22)</f>
        <v>0</v>
      </c>
      <c r="AL22" s="94">
        <f>SUM(L22:U22)</f>
        <v>1</v>
      </c>
      <c r="AM22" s="94">
        <f>SUM(V22:Y22)</f>
        <v>1832</v>
      </c>
      <c r="AN22" s="94">
        <f>SUM(Z22:AC22)</f>
        <v>0</v>
      </c>
      <c r="AO22" s="97">
        <f>SUM(AK22:AN22)</f>
        <v>1833</v>
      </c>
      <c r="AP22" s="87"/>
      <c r="AQ22" s="28">
        <f>IF(SUM(M22:O22)=0,0,SUM(M22:O22)/SUM(L22:O22))</f>
        <v>1</v>
      </c>
      <c r="AR22" s="29">
        <f>IF(SUM(Q22:R22)=0,0,SUM(Q22:R22)/SUM(P22:U22))</f>
        <v>0</v>
      </c>
    </row>
    <row r="23" spans="1:44" s="90" customFormat="1" x14ac:dyDescent="0.25">
      <c r="A23" s="123">
        <v>6</v>
      </c>
      <c r="B23" s="79">
        <f>+B22+0.01</f>
        <v>1.06</v>
      </c>
      <c r="C23" s="110" t="s">
        <v>193</v>
      </c>
      <c r="D23" s="110" t="s">
        <v>137</v>
      </c>
      <c r="E23" s="110"/>
      <c r="F23" s="137" t="s">
        <v>78</v>
      </c>
      <c r="G23" s="82"/>
      <c r="H23" s="82"/>
      <c r="I23" s="82"/>
      <c r="J23" s="82"/>
      <c r="K23" s="82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>
        <v>5</v>
      </c>
      <c r="W23" s="98">
        <v>275</v>
      </c>
      <c r="X23" s="98">
        <v>20</v>
      </c>
      <c r="Y23" s="98">
        <v>22</v>
      </c>
      <c r="Z23" s="82"/>
      <c r="AA23" s="82"/>
      <c r="AB23" s="82"/>
      <c r="AC23" s="82"/>
      <c r="AD23" s="82">
        <f>SUM(G23:AC23)</f>
        <v>322</v>
      </c>
      <c r="AE23" s="83" t="s">
        <v>58</v>
      </c>
      <c r="AF23" s="66" t="s">
        <v>200</v>
      </c>
      <c r="AG23" s="84">
        <f>CORREL(L23:Y23,L$10:Y$10)</f>
        <v>0.92664907149770814</v>
      </c>
      <c r="AH23" s="85"/>
      <c r="AI23" s="86">
        <f>CORREL(V23:Y23,V$10:Y$10)</f>
        <v>0.92664907149770814</v>
      </c>
      <c r="AJ23" s="95"/>
      <c r="AK23" s="138">
        <f>SUM(G23:K23)</f>
        <v>0</v>
      </c>
      <c r="AL23" s="139">
        <f>SUM(L23:U23)</f>
        <v>0</v>
      </c>
      <c r="AM23" s="139">
        <f>SUM(V23:Y23)</f>
        <v>322</v>
      </c>
      <c r="AN23" s="139">
        <f>SUM(Z23:AC23)</f>
        <v>0</v>
      </c>
      <c r="AO23" s="140">
        <f>SUM(AK23:AN23)</f>
        <v>322</v>
      </c>
      <c r="AP23" s="87"/>
      <c r="AQ23" s="141">
        <f>IF(SUM(M23:O23)=0,0,SUM(M23:O23)/SUM(L23:O23))</f>
        <v>0</v>
      </c>
      <c r="AR23" s="142">
        <f>IF(SUM(Q23:R23)=0,0,SUM(Q23:R23)/SUM(P23:U23))</f>
        <v>0</v>
      </c>
    </row>
    <row r="24" spans="1:44" s="90" customFormat="1" ht="15.75" thickBot="1" x14ac:dyDescent="0.25">
      <c r="A24" s="123"/>
      <c r="B24" s="79"/>
      <c r="C24" s="125" t="s">
        <v>232</v>
      </c>
      <c r="D24" s="111"/>
      <c r="F24" s="93"/>
      <c r="G24" s="126">
        <f>SUM(G21:G23)</f>
        <v>0</v>
      </c>
      <c r="H24" s="126">
        <f t="shared" ref="H24" si="18">SUM(H21:H23)</f>
        <v>0</v>
      </c>
      <c r="I24" s="126">
        <f t="shared" ref="I24" si="19">SUM(I21:I23)</f>
        <v>0</v>
      </c>
      <c r="J24" s="126">
        <f t="shared" ref="J24" si="20">SUM(J21:J23)</f>
        <v>0</v>
      </c>
      <c r="K24" s="126">
        <f t="shared" ref="K24" si="21">SUM(K21:K23)</f>
        <v>0</v>
      </c>
      <c r="L24" s="126">
        <f t="shared" ref="L24" si="22">SUM(L21:L23)</f>
        <v>0</v>
      </c>
      <c r="M24" s="126">
        <f t="shared" ref="M24" si="23">SUM(M21:M23)</f>
        <v>1</v>
      </c>
      <c r="N24" s="126">
        <f t="shared" ref="N24" si="24">SUM(N21:N23)</f>
        <v>0</v>
      </c>
      <c r="O24" s="126">
        <f t="shared" ref="O24" si="25">SUM(O21:O23)</f>
        <v>0</v>
      </c>
      <c r="P24" s="126">
        <f t="shared" ref="P24" si="26">SUM(P21:P23)</f>
        <v>0</v>
      </c>
      <c r="Q24" s="126">
        <f t="shared" ref="Q24" si="27">SUM(Q21:Q23)</f>
        <v>0</v>
      </c>
      <c r="R24" s="126">
        <f t="shared" ref="R24" si="28">SUM(R21:R23)</f>
        <v>0</v>
      </c>
      <c r="S24" s="126">
        <f t="shared" ref="S24" si="29">SUM(S21:S23)</f>
        <v>0</v>
      </c>
      <c r="T24" s="126">
        <f t="shared" ref="T24" si="30">SUM(T21:T23)</f>
        <v>0</v>
      </c>
      <c r="U24" s="126">
        <f t="shared" ref="U24" si="31">SUM(U21:U23)</f>
        <v>0</v>
      </c>
      <c r="V24" s="126">
        <f t="shared" ref="V24" si="32">SUM(V21:V23)</f>
        <v>43</v>
      </c>
      <c r="W24" s="126">
        <f t="shared" ref="W24" si="33">SUM(W21:W23)</f>
        <v>3054</v>
      </c>
      <c r="X24" s="126">
        <f t="shared" ref="X24" si="34">SUM(X21:X23)</f>
        <v>156</v>
      </c>
      <c r="Y24" s="126">
        <f t="shared" ref="Y24" si="35">SUM(Y21:Y23)</f>
        <v>792</v>
      </c>
      <c r="Z24" s="126">
        <f t="shared" ref="Z24" si="36">SUM(Z21:Z23)</f>
        <v>0</v>
      </c>
      <c r="AA24" s="126">
        <f t="shared" ref="AA24" si="37">SUM(AA21:AA23)</f>
        <v>0</v>
      </c>
      <c r="AB24" s="126">
        <f t="shared" ref="AB24" si="38">SUM(AB21:AB23)</f>
        <v>0</v>
      </c>
      <c r="AC24" s="126">
        <f t="shared" ref="AC24" si="39">SUM(AC21:AC23)</f>
        <v>0</v>
      </c>
      <c r="AD24" s="126">
        <f t="shared" ref="AD24" si="40">SUM(AD21:AD23)</f>
        <v>4046</v>
      </c>
      <c r="AE24" s="83"/>
      <c r="AF24" s="66"/>
      <c r="AG24" s="127">
        <f>CORREL(L24:Y24,L$10:Y$10)</f>
        <v>0.92883038849151189</v>
      </c>
      <c r="AH24" s="128"/>
      <c r="AI24" s="129">
        <f>CORREL(V24:Y24,V$10:Y$10)</f>
        <v>0.97629892328769829</v>
      </c>
      <c r="AJ24" s="130"/>
      <c r="AK24" s="143">
        <f>SUM(AK21:AK23)</f>
        <v>0</v>
      </c>
      <c r="AL24" s="135">
        <f>SUM(AL21:AL23)</f>
        <v>1</v>
      </c>
      <c r="AM24" s="135">
        <f t="shared" ref="AM24:AN24" si="41">SUM(AM21:AM23)</f>
        <v>4045</v>
      </c>
      <c r="AN24" s="135">
        <f t="shared" si="41"/>
        <v>0</v>
      </c>
      <c r="AO24" s="144">
        <f>SUM(AO21:AO23)</f>
        <v>4046</v>
      </c>
      <c r="AP24" s="87"/>
      <c r="AQ24" s="145">
        <f t="shared" ref="AQ24:AQ25" si="42">IF(SUM(M24:O24)=0,0,SUM(M24:O24)/SUM(L24:O24))</f>
        <v>1</v>
      </c>
      <c r="AR24" s="146">
        <f t="shared" ref="AR24:AR25" si="43">IF(SUM(Q24:R24)=0,0,SUM(Q24:R24)/SUM(P24:U24))</f>
        <v>0</v>
      </c>
    </row>
    <row r="25" spans="1:44" s="90" customFormat="1" ht="16.5" thickTop="1" thickBot="1" x14ac:dyDescent="0.25">
      <c r="A25" s="79"/>
      <c r="B25" s="79"/>
      <c r="C25" s="125" t="s">
        <v>231</v>
      </c>
      <c r="D25" s="111"/>
      <c r="E25" s="111"/>
      <c r="F25" s="93"/>
      <c r="G25" s="147">
        <f>+G24+G19</f>
        <v>0</v>
      </c>
      <c r="H25" s="147">
        <f t="shared" ref="H25:AD25" si="44">+H24+H19</f>
        <v>0</v>
      </c>
      <c r="I25" s="147">
        <f t="shared" si="44"/>
        <v>0</v>
      </c>
      <c r="J25" s="147">
        <f t="shared" si="44"/>
        <v>3</v>
      </c>
      <c r="K25" s="147">
        <f t="shared" si="44"/>
        <v>0</v>
      </c>
      <c r="L25" s="147">
        <f t="shared" si="44"/>
        <v>0</v>
      </c>
      <c r="M25" s="147">
        <f t="shared" si="44"/>
        <v>2</v>
      </c>
      <c r="N25" s="147">
        <f t="shared" si="44"/>
        <v>4</v>
      </c>
      <c r="O25" s="147">
        <f t="shared" si="44"/>
        <v>0</v>
      </c>
      <c r="P25" s="147">
        <f t="shared" si="44"/>
        <v>5</v>
      </c>
      <c r="Q25" s="147">
        <f t="shared" si="44"/>
        <v>2</v>
      </c>
      <c r="R25" s="147">
        <f t="shared" si="44"/>
        <v>8</v>
      </c>
      <c r="S25" s="147">
        <f t="shared" si="44"/>
        <v>29</v>
      </c>
      <c r="T25" s="147">
        <f t="shared" si="44"/>
        <v>4</v>
      </c>
      <c r="U25" s="147">
        <f t="shared" si="44"/>
        <v>5</v>
      </c>
      <c r="V25" s="147">
        <f t="shared" si="44"/>
        <v>56</v>
      </c>
      <c r="W25" s="147">
        <f t="shared" si="44"/>
        <v>3118</v>
      </c>
      <c r="X25" s="147">
        <f t="shared" si="44"/>
        <v>160</v>
      </c>
      <c r="Y25" s="147">
        <f t="shared" si="44"/>
        <v>810</v>
      </c>
      <c r="Z25" s="147">
        <f t="shared" si="44"/>
        <v>0</v>
      </c>
      <c r="AA25" s="147">
        <f t="shared" si="44"/>
        <v>1</v>
      </c>
      <c r="AB25" s="147">
        <f t="shared" si="44"/>
        <v>0</v>
      </c>
      <c r="AC25" s="147">
        <f t="shared" si="44"/>
        <v>3</v>
      </c>
      <c r="AD25" s="147">
        <f t="shared" si="44"/>
        <v>4210</v>
      </c>
      <c r="AE25" s="83"/>
      <c r="AF25" s="66"/>
      <c r="AG25" s="148">
        <f>CORREL(L25:Y25,L$10:Y$10)</f>
        <v>0.93145666539460881</v>
      </c>
      <c r="AH25" s="149">
        <f t="shared" si="15"/>
        <v>0.92698355496506502</v>
      </c>
      <c r="AI25" s="150">
        <f>CORREL(V25:Y25,V$10:Y$10)</f>
        <v>0.97665519037413662</v>
      </c>
      <c r="AJ25" s="130"/>
      <c r="AK25" s="131">
        <f>+AK24+AK19</f>
        <v>3</v>
      </c>
      <c r="AL25" s="126">
        <f>+AL24+AL19</f>
        <v>59</v>
      </c>
      <c r="AM25" s="126">
        <f t="shared" ref="AM25:AN25" si="45">+AM24+AM19</f>
        <v>4144</v>
      </c>
      <c r="AN25" s="126">
        <f t="shared" si="45"/>
        <v>4</v>
      </c>
      <c r="AO25" s="132">
        <f>+AO24+AO19</f>
        <v>4210</v>
      </c>
      <c r="AP25" s="87"/>
      <c r="AQ25" s="133">
        <f t="shared" si="42"/>
        <v>1</v>
      </c>
      <c r="AR25" s="134">
        <f t="shared" si="43"/>
        <v>0.18867924528301888</v>
      </c>
    </row>
    <row r="26" spans="1:44" s="90" customFormat="1" x14ac:dyDescent="0.25">
      <c r="A26" s="79"/>
      <c r="B26" s="79"/>
      <c r="C26" s="125"/>
      <c r="D26" s="111"/>
      <c r="E26" s="111"/>
      <c r="F26" s="93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83"/>
      <c r="AF26" s="66"/>
      <c r="AG26" s="84"/>
      <c r="AH26" s="85"/>
      <c r="AI26" s="86"/>
      <c r="AJ26" s="95"/>
      <c r="AK26" s="96"/>
      <c r="AL26" s="94"/>
      <c r="AM26" s="94"/>
      <c r="AN26" s="94"/>
      <c r="AO26" s="89"/>
      <c r="AP26" s="87"/>
      <c r="AQ26" s="116"/>
      <c r="AR26" s="117"/>
    </row>
    <row r="27" spans="1:44" s="90" customFormat="1" x14ac:dyDescent="0.25">
      <c r="A27" s="79"/>
      <c r="B27" s="119">
        <v>2</v>
      </c>
      <c r="C27" s="80" t="s">
        <v>260</v>
      </c>
      <c r="D27" s="111"/>
      <c r="E27" s="111"/>
      <c r="F27" s="93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3"/>
      <c r="AF27" s="66"/>
      <c r="AG27" s="84"/>
      <c r="AH27" s="85"/>
      <c r="AI27" s="86"/>
      <c r="AJ27" s="95"/>
      <c r="AK27" s="96"/>
      <c r="AL27" s="94"/>
      <c r="AM27" s="94"/>
      <c r="AN27" s="94"/>
      <c r="AO27" s="89"/>
      <c r="AP27" s="87"/>
      <c r="AQ27" s="116"/>
      <c r="AR27" s="117"/>
    </row>
    <row r="28" spans="1:44" s="90" customFormat="1" x14ac:dyDescent="0.25">
      <c r="A28" s="79"/>
      <c r="B28" s="123"/>
      <c r="C28" s="122" t="s">
        <v>229</v>
      </c>
      <c r="D28" s="111"/>
      <c r="E28" s="111"/>
      <c r="F28" s="93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3"/>
      <c r="AF28" s="66"/>
      <c r="AG28" s="84"/>
      <c r="AH28" s="85"/>
      <c r="AI28" s="86"/>
      <c r="AJ28" s="95"/>
      <c r="AK28" s="96"/>
      <c r="AL28" s="94"/>
      <c r="AM28" s="94"/>
      <c r="AN28" s="94"/>
      <c r="AO28" s="89"/>
      <c r="AP28" s="87"/>
      <c r="AQ28" s="116"/>
      <c r="AR28" s="117"/>
    </row>
    <row r="29" spans="1:44" s="90" customFormat="1" x14ac:dyDescent="0.25">
      <c r="A29" s="123">
        <v>7</v>
      </c>
      <c r="B29" s="79">
        <f>+B27+0.01</f>
        <v>2.0099999999999998</v>
      </c>
      <c r="C29" s="111" t="s">
        <v>9</v>
      </c>
      <c r="D29" s="111" t="s">
        <v>61</v>
      </c>
      <c r="E29" s="90" t="s">
        <v>170</v>
      </c>
      <c r="F29" s="93" t="s">
        <v>36</v>
      </c>
      <c r="G29" s="82"/>
      <c r="H29" s="82"/>
      <c r="I29" s="82"/>
      <c r="J29" s="82"/>
      <c r="K29" s="82"/>
      <c r="L29" s="82"/>
      <c r="M29" s="82">
        <v>1</v>
      </c>
      <c r="N29" s="82">
        <v>2</v>
      </c>
      <c r="O29" s="82"/>
      <c r="P29" s="82"/>
      <c r="Q29" s="82"/>
      <c r="R29" s="82"/>
      <c r="S29" s="82"/>
      <c r="T29" s="82"/>
      <c r="U29" s="82"/>
      <c r="V29" s="82">
        <v>1</v>
      </c>
      <c r="W29" s="82">
        <v>13</v>
      </c>
      <c r="X29" s="82">
        <v>3</v>
      </c>
      <c r="Y29" s="82">
        <v>20</v>
      </c>
      <c r="Z29" s="82"/>
      <c r="AA29" s="82"/>
      <c r="AB29" s="82"/>
      <c r="AC29" s="82"/>
      <c r="AD29" s="82">
        <f t="shared" ref="AD29:AD40" si="46">SUM(G29:AC29)</f>
        <v>40</v>
      </c>
      <c r="AE29" s="83" t="s">
        <v>37</v>
      </c>
      <c r="AF29" s="66"/>
      <c r="AG29" s="84">
        <f>CORREL(L29:Y29,L$10:Y$10)</f>
        <v>0.70542826874821163</v>
      </c>
      <c r="AH29" s="85">
        <f>CORREL(L29:U29,L$10:U$10)</f>
        <v>1</v>
      </c>
      <c r="AI29" s="86">
        <f>CORREL(V29:Y29,V$10:Y$10)</f>
        <v>0.59382586981406438</v>
      </c>
      <c r="AJ29" s="95"/>
      <c r="AK29" s="96">
        <f>SUM(G29:K29)</f>
        <v>0</v>
      </c>
      <c r="AL29" s="94">
        <f>SUM(L29:U29)</f>
        <v>3</v>
      </c>
      <c r="AM29" s="94">
        <f>SUM(V29:Y29)</f>
        <v>37</v>
      </c>
      <c r="AN29" s="94">
        <f>SUM(Z29:AC29)</f>
        <v>0</v>
      </c>
      <c r="AO29" s="97">
        <f>SUM(AK29:AN29)</f>
        <v>40</v>
      </c>
      <c r="AP29" s="87"/>
      <c r="AQ29" s="28">
        <f>IF(SUM(M29:O29)=0,0,SUM(M29:O29)/SUM(L29:O29))</f>
        <v>1</v>
      </c>
      <c r="AR29" s="29">
        <f>IF(SUM(Q29:R29)=0,0,SUM(Q29:R29)/SUM(P29:U29))</f>
        <v>0</v>
      </c>
    </row>
    <row r="30" spans="1:44" s="90" customFormat="1" x14ac:dyDescent="0.25">
      <c r="A30" s="123">
        <f t="shared" ref="A30:A40" si="47">+A29+1</f>
        <v>8</v>
      </c>
      <c r="B30" s="79">
        <f t="shared" ref="B30:B40" si="48">+B29+0.01</f>
        <v>2.0199999999999996</v>
      </c>
      <c r="C30" s="111" t="s">
        <v>273</v>
      </c>
      <c r="D30" s="111" t="s">
        <v>61</v>
      </c>
      <c r="E30" s="1" t="s">
        <v>288</v>
      </c>
      <c r="F30" s="93" t="s">
        <v>36</v>
      </c>
      <c r="G30" s="82"/>
      <c r="H30" s="82"/>
      <c r="I30" s="82"/>
      <c r="J30" s="82">
        <v>1</v>
      </c>
      <c r="K30" s="82"/>
      <c r="L30" s="82"/>
      <c r="M30" s="82"/>
      <c r="N30" s="82">
        <v>1</v>
      </c>
      <c r="O30" s="82"/>
      <c r="P30" s="82"/>
      <c r="Q30" s="82"/>
      <c r="R30" s="82"/>
      <c r="S30" s="82">
        <v>1</v>
      </c>
      <c r="T30" s="82">
        <v>1</v>
      </c>
      <c r="U30" s="82">
        <v>1</v>
      </c>
      <c r="V30" s="82">
        <v>1</v>
      </c>
      <c r="W30" s="82">
        <v>7</v>
      </c>
      <c r="X30" s="82">
        <v>1</v>
      </c>
      <c r="Y30" s="82">
        <v>3</v>
      </c>
      <c r="Z30" s="82"/>
      <c r="AA30" s="82"/>
      <c r="AB30" s="82"/>
      <c r="AC30" s="82"/>
      <c r="AD30" s="82">
        <f t="shared" si="46"/>
        <v>17</v>
      </c>
      <c r="AE30" s="83" t="s">
        <v>250</v>
      </c>
      <c r="AF30" s="66"/>
      <c r="AG30" s="84">
        <f t="shared" ref="AG30:AG40" si="49">CORREL(L30:Y30,L$10:Y$10)</f>
        <v>0.94290106839088828</v>
      </c>
      <c r="AH30" s="85"/>
      <c r="AI30" s="86">
        <f t="shared" ref="AI30:AI40" si="50">CORREL(V30:Y30,V$10:Y$10)</f>
        <v>0.99030565216530031</v>
      </c>
      <c r="AJ30" s="95"/>
      <c r="AK30" s="96">
        <f t="shared" ref="AK30:AK40" si="51">SUM(G30:K30)</f>
        <v>1</v>
      </c>
      <c r="AL30" s="94">
        <f t="shared" ref="AL30:AL40" si="52">SUM(L30:U30)</f>
        <v>4</v>
      </c>
      <c r="AM30" s="94">
        <f t="shared" ref="AM30:AM40" si="53">SUM(V30:Y30)</f>
        <v>12</v>
      </c>
      <c r="AN30" s="94">
        <f t="shared" ref="AN30:AN40" si="54">SUM(Z30:AC30)</f>
        <v>0</v>
      </c>
      <c r="AO30" s="97">
        <f t="shared" ref="AO30:AO40" si="55">SUM(AK30:AN30)</f>
        <v>17</v>
      </c>
      <c r="AP30" s="87"/>
      <c r="AQ30" s="28">
        <f t="shared" ref="AQ30:AQ40" si="56">IF(SUM(M30:O30)=0,0,SUM(M30:O30)/SUM(L30:O30))</f>
        <v>1</v>
      </c>
      <c r="AR30" s="29">
        <f t="shared" ref="AR30:AR40" si="57">IF(SUM(Q30:R30)=0,0,SUM(Q30:R30)/SUM(P30:U30))</f>
        <v>0</v>
      </c>
    </row>
    <row r="31" spans="1:44" s="90" customFormat="1" x14ac:dyDescent="0.25">
      <c r="A31" s="123">
        <f t="shared" si="47"/>
        <v>9</v>
      </c>
      <c r="B31" s="79">
        <f t="shared" si="48"/>
        <v>2.0299999999999994</v>
      </c>
      <c r="C31" s="111" t="s">
        <v>8</v>
      </c>
      <c r="D31" s="111" t="s">
        <v>61</v>
      </c>
      <c r="E31" s="90" t="s">
        <v>169</v>
      </c>
      <c r="F31" s="93" t="s">
        <v>36</v>
      </c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>
        <v>1</v>
      </c>
      <c r="R31" s="82"/>
      <c r="S31" s="82">
        <v>1</v>
      </c>
      <c r="T31" s="82"/>
      <c r="U31" s="82">
        <v>1</v>
      </c>
      <c r="V31" s="82">
        <v>2</v>
      </c>
      <c r="W31" s="82"/>
      <c r="X31" s="82">
        <v>4</v>
      </c>
      <c r="Y31" s="82">
        <v>1</v>
      </c>
      <c r="Z31" s="82"/>
      <c r="AA31" s="82"/>
      <c r="AB31" s="82"/>
      <c r="AC31" s="82"/>
      <c r="AD31" s="82">
        <f t="shared" si="46"/>
        <v>10</v>
      </c>
      <c r="AE31" s="83" t="s">
        <v>43</v>
      </c>
      <c r="AF31" s="66" t="s">
        <v>196</v>
      </c>
      <c r="AG31" s="84">
        <f t="shared" si="49"/>
        <v>-0.40520181566748575</v>
      </c>
      <c r="AH31" s="85"/>
      <c r="AI31" s="86">
        <f t="shared" si="50"/>
        <v>-0.93626313290131569</v>
      </c>
      <c r="AJ31" s="95"/>
      <c r="AK31" s="96">
        <f t="shared" si="51"/>
        <v>0</v>
      </c>
      <c r="AL31" s="94">
        <f t="shared" si="52"/>
        <v>3</v>
      </c>
      <c r="AM31" s="94">
        <f t="shared" si="53"/>
        <v>7</v>
      </c>
      <c r="AN31" s="94">
        <f t="shared" si="54"/>
        <v>0</v>
      </c>
      <c r="AO31" s="97">
        <f t="shared" si="55"/>
        <v>10</v>
      </c>
      <c r="AP31" s="87"/>
      <c r="AQ31" s="28">
        <f t="shared" si="56"/>
        <v>0</v>
      </c>
      <c r="AR31" s="29">
        <f t="shared" si="57"/>
        <v>0.33333333333333331</v>
      </c>
    </row>
    <row r="32" spans="1:44" s="90" customFormat="1" x14ac:dyDescent="0.25">
      <c r="A32" s="123">
        <f t="shared" si="47"/>
        <v>10</v>
      </c>
      <c r="B32" s="79">
        <f t="shared" si="48"/>
        <v>2.0399999999999991</v>
      </c>
      <c r="C32" s="111" t="s">
        <v>274</v>
      </c>
      <c r="D32" s="111" t="s">
        <v>61</v>
      </c>
      <c r="E32" s="1" t="s">
        <v>289</v>
      </c>
      <c r="F32" s="93" t="s">
        <v>36</v>
      </c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>
        <v>6</v>
      </c>
      <c r="X32" s="82">
        <v>2</v>
      </c>
      <c r="Y32" s="82">
        <v>1</v>
      </c>
      <c r="Z32" s="82"/>
      <c r="AA32" s="82"/>
      <c r="AB32" s="82"/>
      <c r="AC32" s="82"/>
      <c r="AD32" s="82">
        <f t="shared" si="46"/>
        <v>9</v>
      </c>
      <c r="AE32" s="83" t="s">
        <v>250</v>
      </c>
      <c r="AF32" s="66"/>
      <c r="AG32" s="84">
        <f t="shared" si="49"/>
        <v>0.81786013299667926</v>
      </c>
      <c r="AH32" s="85"/>
      <c r="AI32" s="86">
        <f t="shared" si="50"/>
        <v>0.81786013299667926</v>
      </c>
      <c r="AJ32" s="95"/>
      <c r="AK32" s="96">
        <f t="shared" si="51"/>
        <v>0</v>
      </c>
      <c r="AL32" s="94">
        <f t="shared" si="52"/>
        <v>0</v>
      </c>
      <c r="AM32" s="94">
        <f t="shared" si="53"/>
        <v>9</v>
      </c>
      <c r="AN32" s="94">
        <f t="shared" si="54"/>
        <v>0</v>
      </c>
      <c r="AO32" s="97">
        <f t="shared" si="55"/>
        <v>9</v>
      </c>
      <c r="AP32" s="87"/>
      <c r="AQ32" s="28">
        <f t="shared" si="56"/>
        <v>0</v>
      </c>
      <c r="AR32" s="29">
        <f t="shared" si="57"/>
        <v>0</v>
      </c>
    </row>
    <row r="33" spans="1:44" s="90" customFormat="1" x14ac:dyDescent="0.25">
      <c r="A33" s="123">
        <f t="shared" si="47"/>
        <v>11</v>
      </c>
      <c r="B33" s="79">
        <f t="shared" si="48"/>
        <v>2.0499999999999989</v>
      </c>
      <c r="C33" s="111" t="s">
        <v>275</v>
      </c>
      <c r="D33" s="111" t="s">
        <v>61</v>
      </c>
      <c r="E33" s="1" t="s">
        <v>290</v>
      </c>
      <c r="F33" s="93" t="s">
        <v>36</v>
      </c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>
        <v>2</v>
      </c>
      <c r="S33" s="82"/>
      <c r="T33" s="82"/>
      <c r="U33" s="82">
        <v>1</v>
      </c>
      <c r="V33" s="82">
        <v>2</v>
      </c>
      <c r="W33" s="82">
        <v>1</v>
      </c>
      <c r="X33" s="82">
        <v>2</v>
      </c>
      <c r="Y33" s="82">
        <v>1</v>
      </c>
      <c r="Z33" s="82"/>
      <c r="AA33" s="82"/>
      <c r="AB33" s="82"/>
      <c r="AC33" s="82"/>
      <c r="AD33" s="82">
        <f t="shared" si="46"/>
        <v>9</v>
      </c>
      <c r="AE33" s="83" t="s">
        <v>284</v>
      </c>
      <c r="AF33" s="66"/>
      <c r="AG33" s="84">
        <f t="shared" si="49"/>
        <v>-0.6325022850039268</v>
      </c>
      <c r="AH33" s="85">
        <f t="shared" ref="AH33:AH39" si="58">CORREL(L33:U33,L$10:U$10)</f>
        <v>-1</v>
      </c>
      <c r="AI33" s="86">
        <f t="shared" si="50"/>
        <v>-0.82871005375711071</v>
      </c>
      <c r="AJ33" s="95"/>
      <c r="AK33" s="96">
        <f t="shared" si="51"/>
        <v>0</v>
      </c>
      <c r="AL33" s="94">
        <f t="shared" si="52"/>
        <v>3</v>
      </c>
      <c r="AM33" s="94">
        <f t="shared" si="53"/>
        <v>6</v>
      </c>
      <c r="AN33" s="94">
        <f t="shared" si="54"/>
        <v>0</v>
      </c>
      <c r="AO33" s="97">
        <f t="shared" si="55"/>
        <v>9</v>
      </c>
      <c r="AP33" s="87"/>
      <c r="AQ33" s="28">
        <f t="shared" si="56"/>
        <v>0</v>
      </c>
      <c r="AR33" s="29">
        <f t="shared" si="57"/>
        <v>0.66666666666666663</v>
      </c>
    </row>
    <row r="34" spans="1:44" s="90" customFormat="1" x14ac:dyDescent="0.25">
      <c r="A34" s="123">
        <f t="shared" si="47"/>
        <v>12</v>
      </c>
      <c r="B34" s="79">
        <f t="shared" si="48"/>
        <v>2.0599999999999987</v>
      </c>
      <c r="C34" s="111" t="s">
        <v>276</v>
      </c>
      <c r="D34" s="111" t="s">
        <v>292</v>
      </c>
      <c r="E34" s="1" t="s">
        <v>291</v>
      </c>
      <c r="F34" s="93" t="s">
        <v>36</v>
      </c>
      <c r="G34" s="82"/>
      <c r="H34" s="82"/>
      <c r="I34" s="82"/>
      <c r="J34" s="82"/>
      <c r="K34" s="82"/>
      <c r="L34" s="82"/>
      <c r="M34" s="82"/>
      <c r="N34" s="82"/>
      <c r="O34" s="82"/>
      <c r="P34" s="82">
        <v>1</v>
      </c>
      <c r="Q34" s="82"/>
      <c r="R34" s="82"/>
      <c r="S34" s="82"/>
      <c r="T34" s="82"/>
      <c r="U34" s="82">
        <v>1</v>
      </c>
      <c r="V34" s="82"/>
      <c r="W34" s="82">
        <v>6</v>
      </c>
      <c r="X34" s="82">
        <v>1</v>
      </c>
      <c r="Y34" s="82"/>
      <c r="Z34" s="82"/>
      <c r="AA34" s="82"/>
      <c r="AB34" s="82"/>
      <c r="AC34" s="82"/>
      <c r="AD34" s="82">
        <f t="shared" si="46"/>
        <v>9</v>
      </c>
      <c r="AE34" s="83" t="s">
        <v>285</v>
      </c>
      <c r="AF34" s="66"/>
      <c r="AG34" s="84">
        <f t="shared" si="49"/>
        <v>0.99520497685910336</v>
      </c>
      <c r="AH34" s="85"/>
      <c r="AI34" s="86">
        <f t="shared" si="50"/>
        <v>1</v>
      </c>
      <c r="AJ34" s="95"/>
      <c r="AK34" s="96">
        <f t="shared" si="51"/>
        <v>0</v>
      </c>
      <c r="AL34" s="94">
        <f t="shared" si="52"/>
        <v>2</v>
      </c>
      <c r="AM34" s="94">
        <f t="shared" si="53"/>
        <v>7</v>
      </c>
      <c r="AN34" s="94">
        <f t="shared" si="54"/>
        <v>0</v>
      </c>
      <c r="AO34" s="97">
        <f t="shared" si="55"/>
        <v>9</v>
      </c>
      <c r="AP34" s="87"/>
      <c r="AQ34" s="28">
        <f t="shared" si="56"/>
        <v>0</v>
      </c>
      <c r="AR34" s="29">
        <f t="shared" si="57"/>
        <v>0</v>
      </c>
    </row>
    <row r="35" spans="1:44" s="90" customFormat="1" x14ac:dyDescent="0.25">
      <c r="A35" s="123">
        <f t="shared" si="47"/>
        <v>13</v>
      </c>
      <c r="B35" s="79">
        <f t="shared" si="48"/>
        <v>2.0699999999999985</v>
      </c>
      <c r="C35" s="111" t="s">
        <v>277</v>
      </c>
      <c r="D35" s="111" t="s">
        <v>293</v>
      </c>
      <c r="E35" s="1" t="s">
        <v>294</v>
      </c>
      <c r="F35" s="93" t="s">
        <v>36</v>
      </c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>
        <v>1</v>
      </c>
      <c r="S35" s="82"/>
      <c r="T35" s="82"/>
      <c r="U35" s="82"/>
      <c r="V35" s="82"/>
      <c r="W35" s="82">
        <v>4</v>
      </c>
      <c r="X35" s="82"/>
      <c r="Y35" s="82">
        <v>3</v>
      </c>
      <c r="Z35" s="82"/>
      <c r="AA35" s="82"/>
      <c r="AB35" s="82"/>
      <c r="AC35" s="82"/>
      <c r="AD35" s="82">
        <f t="shared" si="46"/>
        <v>8</v>
      </c>
      <c r="AE35" s="83" t="s">
        <v>46</v>
      </c>
      <c r="AF35" s="66"/>
      <c r="AG35" s="84">
        <f t="shared" si="49"/>
        <v>0.96370872503977567</v>
      </c>
      <c r="AH35" s="85"/>
      <c r="AI35" s="86">
        <f t="shared" si="50"/>
        <v>1</v>
      </c>
      <c r="AJ35" s="95"/>
      <c r="AK35" s="96">
        <f t="shared" si="51"/>
        <v>0</v>
      </c>
      <c r="AL35" s="94">
        <f t="shared" si="52"/>
        <v>1</v>
      </c>
      <c r="AM35" s="94">
        <f t="shared" si="53"/>
        <v>7</v>
      </c>
      <c r="AN35" s="94">
        <f t="shared" si="54"/>
        <v>0</v>
      </c>
      <c r="AO35" s="97">
        <f t="shared" si="55"/>
        <v>8</v>
      </c>
      <c r="AP35" s="87"/>
      <c r="AQ35" s="28">
        <f t="shared" si="56"/>
        <v>0</v>
      </c>
      <c r="AR35" s="29">
        <f t="shared" si="57"/>
        <v>1</v>
      </c>
    </row>
    <row r="36" spans="1:44" s="90" customFormat="1" x14ac:dyDescent="0.25">
      <c r="A36" s="123">
        <f t="shared" si="47"/>
        <v>14</v>
      </c>
      <c r="B36" s="79">
        <f t="shared" si="48"/>
        <v>2.0799999999999983</v>
      </c>
      <c r="C36" s="111" t="s">
        <v>278</v>
      </c>
      <c r="D36" s="111" t="s">
        <v>292</v>
      </c>
      <c r="E36" s="1" t="s">
        <v>295</v>
      </c>
      <c r="F36" s="93" t="s">
        <v>36</v>
      </c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>
        <v>6</v>
      </c>
      <c r="X36" s="82"/>
      <c r="Y36" s="82">
        <v>1</v>
      </c>
      <c r="Z36" s="82"/>
      <c r="AA36" s="82"/>
      <c r="AB36" s="82"/>
      <c r="AC36" s="82"/>
      <c r="AD36" s="82">
        <f t="shared" si="46"/>
        <v>7</v>
      </c>
      <c r="AE36" s="83" t="s">
        <v>286</v>
      </c>
      <c r="AF36" s="66"/>
      <c r="AG36" s="84">
        <f t="shared" si="49"/>
        <v>1</v>
      </c>
      <c r="AH36" s="85"/>
      <c r="AI36" s="86">
        <f t="shared" si="50"/>
        <v>1</v>
      </c>
      <c r="AJ36" s="95"/>
      <c r="AK36" s="96">
        <f t="shared" si="51"/>
        <v>0</v>
      </c>
      <c r="AL36" s="94">
        <f t="shared" si="52"/>
        <v>0</v>
      </c>
      <c r="AM36" s="94">
        <f t="shared" si="53"/>
        <v>7</v>
      </c>
      <c r="AN36" s="94">
        <f t="shared" si="54"/>
        <v>0</v>
      </c>
      <c r="AO36" s="97">
        <f t="shared" si="55"/>
        <v>7</v>
      </c>
      <c r="AP36" s="87"/>
      <c r="AQ36" s="28">
        <f t="shared" si="56"/>
        <v>0</v>
      </c>
      <c r="AR36" s="29">
        <f t="shared" si="57"/>
        <v>0</v>
      </c>
    </row>
    <row r="37" spans="1:44" s="90" customFormat="1" x14ac:dyDescent="0.25">
      <c r="A37" s="123">
        <f t="shared" si="47"/>
        <v>15</v>
      </c>
      <c r="B37" s="79">
        <f t="shared" si="48"/>
        <v>2.0899999999999981</v>
      </c>
      <c r="C37" s="111" t="s">
        <v>298</v>
      </c>
      <c r="D37" s="111" t="s">
        <v>61</v>
      </c>
      <c r="E37" s="1" t="s">
        <v>297</v>
      </c>
      <c r="F37" s="93" t="s">
        <v>36</v>
      </c>
      <c r="G37" s="82"/>
      <c r="H37" s="82"/>
      <c r="I37" s="82"/>
      <c r="J37" s="82"/>
      <c r="K37" s="82"/>
      <c r="L37" s="82"/>
      <c r="M37" s="82">
        <v>1</v>
      </c>
      <c r="N37" s="82"/>
      <c r="O37" s="82"/>
      <c r="P37" s="82"/>
      <c r="Q37" s="82"/>
      <c r="R37" s="82">
        <v>1</v>
      </c>
      <c r="S37" s="82">
        <v>1</v>
      </c>
      <c r="T37" s="82"/>
      <c r="U37" s="82">
        <v>1</v>
      </c>
      <c r="V37" s="82"/>
      <c r="W37" s="82">
        <v>2</v>
      </c>
      <c r="X37" s="82"/>
      <c r="Y37" s="82"/>
      <c r="Z37" s="82"/>
      <c r="AA37" s="82"/>
      <c r="AB37" s="82"/>
      <c r="AC37" s="82"/>
      <c r="AD37" s="82">
        <f t="shared" si="46"/>
        <v>6</v>
      </c>
      <c r="AE37" s="83" t="s">
        <v>46</v>
      </c>
      <c r="AF37" s="66"/>
      <c r="AG37" s="84">
        <f t="shared" si="49"/>
        <v>0.94387006961515563</v>
      </c>
      <c r="AH37" s="85"/>
      <c r="AI37" s="86"/>
      <c r="AJ37" s="95"/>
      <c r="AK37" s="96">
        <f t="shared" si="51"/>
        <v>0</v>
      </c>
      <c r="AL37" s="94">
        <f t="shared" si="52"/>
        <v>4</v>
      </c>
      <c r="AM37" s="94">
        <f t="shared" si="53"/>
        <v>2</v>
      </c>
      <c r="AN37" s="94">
        <f t="shared" si="54"/>
        <v>0</v>
      </c>
      <c r="AO37" s="97">
        <f t="shared" si="55"/>
        <v>6</v>
      </c>
      <c r="AP37" s="87"/>
      <c r="AQ37" s="28">
        <f t="shared" si="56"/>
        <v>1</v>
      </c>
      <c r="AR37" s="29">
        <f t="shared" si="57"/>
        <v>0.33333333333333331</v>
      </c>
    </row>
    <row r="38" spans="1:44" s="90" customFormat="1" x14ac:dyDescent="0.25">
      <c r="A38" s="123">
        <f t="shared" si="47"/>
        <v>16</v>
      </c>
      <c r="B38" s="79">
        <f t="shared" si="48"/>
        <v>2.0999999999999979</v>
      </c>
      <c r="C38" s="111" t="s">
        <v>280</v>
      </c>
      <c r="D38" s="111" t="s">
        <v>300</v>
      </c>
      <c r="E38" s="1" t="s">
        <v>299</v>
      </c>
      <c r="F38" s="93" t="s">
        <v>36</v>
      </c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>
        <v>4</v>
      </c>
      <c r="X38" s="82"/>
      <c r="Y38" s="82">
        <v>2</v>
      </c>
      <c r="Z38" s="82"/>
      <c r="AA38" s="82"/>
      <c r="AB38" s="82"/>
      <c r="AC38" s="82"/>
      <c r="AD38" s="82">
        <f t="shared" si="46"/>
        <v>6</v>
      </c>
      <c r="AE38" s="90" t="s">
        <v>286</v>
      </c>
      <c r="AF38" s="66"/>
      <c r="AG38" s="84">
        <f t="shared" si="49"/>
        <v>1</v>
      </c>
      <c r="AH38" s="85"/>
      <c r="AI38" s="86">
        <f t="shared" si="50"/>
        <v>1</v>
      </c>
      <c r="AJ38" s="95"/>
      <c r="AK38" s="96">
        <f t="shared" si="51"/>
        <v>0</v>
      </c>
      <c r="AL38" s="94">
        <f t="shared" si="52"/>
        <v>0</v>
      </c>
      <c r="AM38" s="94">
        <f t="shared" si="53"/>
        <v>6</v>
      </c>
      <c r="AN38" s="94">
        <f t="shared" si="54"/>
        <v>0</v>
      </c>
      <c r="AO38" s="97">
        <f t="shared" si="55"/>
        <v>6</v>
      </c>
      <c r="AP38" s="87"/>
      <c r="AQ38" s="28">
        <f t="shared" si="56"/>
        <v>0</v>
      </c>
      <c r="AR38" s="29">
        <f t="shared" si="57"/>
        <v>0</v>
      </c>
    </row>
    <row r="39" spans="1:44" s="90" customFormat="1" x14ac:dyDescent="0.25">
      <c r="A39" s="123">
        <f t="shared" si="47"/>
        <v>17</v>
      </c>
      <c r="B39" s="79">
        <f t="shared" si="48"/>
        <v>2.1099999999999977</v>
      </c>
      <c r="C39" s="111" t="s">
        <v>279</v>
      </c>
      <c r="D39" s="111" t="s">
        <v>61</v>
      </c>
      <c r="E39" s="1" t="s">
        <v>296</v>
      </c>
      <c r="F39" s="93" t="s">
        <v>36</v>
      </c>
      <c r="G39" s="82"/>
      <c r="H39" s="82"/>
      <c r="I39" s="82"/>
      <c r="J39" s="82"/>
      <c r="K39" s="82"/>
      <c r="L39" s="82"/>
      <c r="M39" s="82"/>
      <c r="N39" s="82">
        <v>1</v>
      </c>
      <c r="O39" s="82"/>
      <c r="P39" s="82"/>
      <c r="Q39" s="82">
        <v>2</v>
      </c>
      <c r="R39" s="82"/>
      <c r="S39" s="82">
        <v>1</v>
      </c>
      <c r="T39" s="82"/>
      <c r="U39" s="82"/>
      <c r="V39" s="82"/>
      <c r="W39" s="82">
        <v>1</v>
      </c>
      <c r="X39" s="82"/>
      <c r="Y39" s="82"/>
      <c r="Z39" s="82"/>
      <c r="AA39" s="82"/>
      <c r="AB39" s="82"/>
      <c r="AC39" s="82"/>
      <c r="AD39" s="82">
        <f t="shared" si="46"/>
        <v>5</v>
      </c>
      <c r="AE39" s="83" t="s">
        <v>46</v>
      </c>
      <c r="AF39" s="66"/>
      <c r="AG39" s="84">
        <f t="shared" si="49"/>
        <v>-0.47534327608243199</v>
      </c>
      <c r="AH39" s="85">
        <f t="shared" si="58"/>
        <v>-0.5</v>
      </c>
      <c r="AI39" s="86"/>
      <c r="AJ39" s="95"/>
      <c r="AK39" s="96">
        <f t="shared" si="51"/>
        <v>0</v>
      </c>
      <c r="AL39" s="94">
        <f t="shared" si="52"/>
        <v>4</v>
      </c>
      <c r="AM39" s="94">
        <f t="shared" si="53"/>
        <v>1</v>
      </c>
      <c r="AN39" s="94">
        <f t="shared" si="54"/>
        <v>0</v>
      </c>
      <c r="AO39" s="97">
        <f t="shared" si="55"/>
        <v>5</v>
      </c>
      <c r="AP39" s="87"/>
      <c r="AQ39" s="28">
        <f t="shared" si="56"/>
        <v>1</v>
      </c>
      <c r="AR39" s="29">
        <f t="shared" si="57"/>
        <v>0.66666666666666663</v>
      </c>
    </row>
    <row r="40" spans="1:44" s="90" customFormat="1" x14ac:dyDescent="0.25">
      <c r="A40" s="123">
        <f t="shared" si="47"/>
        <v>18</v>
      </c>
      <c r="B40" s="79">
        <f t="shared" si="48"/>
        <v>2.1199999999999974</v>
      </c>
      <c r="C40" s="111" t="s">
        <v>281</v>
      </c>
      <c r="D40" s="111" t="s">
        <v>61</v>
      </c>
      <c r="E40" s="1" t="s">
        <v>301</v>
      </c>
      <c r="F40" s="93" t="s">
        <v>36</v>
      </c>
      <c r="G40" s="82"/>
      <c r="H40" s="82"/>
      <c r="I40" s="82"/>
      <c r="J40" s="82"/>
      <c r="K40" s="82"/>
      <c r="L40" s="82"/>
      <c r="M40" s="82"/>
      <c r="N40" s="82">
        <v>1</v>
      </c>
      <c r="O40" s="82"/>
      <c r="P40" s="82"/>
      <c r="Q40" s="82"/>
      <c r="R40" s="82">
        <v>1</v>
      </c>
      <c r="S40" s="82"/>
      <c r="T40" s="82"/>
      <c r="U40" s="82"/>
      <c r="V40" s="82">
        <v>1</v>
      </c>
      <c r="W40" s="82">
        <v>2</v>
      </c>
      <c r="X40" s="82"/>
      <c r="Y40" s="82"/>
      <c r="Z40" s="82"/>
      <c r="AA40" s="82"/>
      <c r="AB40" s="82"/>
      <c r="AC40" s="82"/>
      <c r="AD40" s="82">
        <f t="shared" si="46"/>
        <v>5</v>
      </c>
      <c r="AE40" s="83" t="s">
        <v>287</v>
      </c>
      <c r="AF40" s="66"/>
      <c r="AG40" s="84">
        <f t="shared" si="49"/>
        <v>0.98426661134034688</v>
      </c>
      <c r="AH40" s="85"/>
      <c r="AI40" s="86">
        <f t="shared" si="50"/>
        <v>1</v>
      </c>
      <c r="AJ40" s="95"/>
      <c r="AK40" s="96">
        <f t="shared" si="51"/>
        <v>0</v>
      </c>
      <c r="AL40" s="94">
        <f t="shared" si="52"/>
        <v>2</v>
      </c>
      <c r="AM40" s="94">
        <f t="shared" si="53"/>
        <v>3</v>
      </c>
      <c r="AN40" s="94">
        <f t="shared" si="54"/>
        <v>0</v>
      </c>
      <c r="AO40" s="97">
        <f t="shared" si="55"/>
        <v>5</v>
      </c>
      <c r="AP40" s="87"/>
      <c r="AQ40" s="28">
        <f t="shared" si="56"/>
        <v>1</v>
      </c>
      <c r="AR40" s="29">
        <f t="shared" si="57"/>
        <v>1</v>
      </c>
    </row>
    <row r="41" spans="1:44" s="90" customFormat="1" ht="15.75" thickBot="1" x14ac:dyDescent="0.25">
      <c r="A41" s="123"/>
      <c r="B41" s="79"/>
      <c r="C41" s="125" t="s">
        <v>262</v>
      </c>
      <c r="D41" s="151"/>
      <c r="E41" s="152"/>
      <c r="F41" s="125"/>
      <c r="G41" s="126">
        <f>SUM(G29:G40)</f>
        <v>0</v>
      </c>
      <c r="H41" s="126">
        <f t="shared" ref="H41:AD41" si="59">SUM(H29:H40)</f>
        <v>0</v>
      </c>
      <c r="I41" s="126">
        <f t="shared" si="59"/>
        <v>0</v>
      </c>
      <c r="J41" s="126">
        <f t="shared" si="59"/>
        <v>1</v>
      </c>
      <c r="K41" s="126">
        <f t="shared" si="59"/>
        <v>0</v>
      </c>
      <c r="L41" s="126">
        <f t="shared" si="59"/>
        <v>0</v>
      </c>
      <c r="M41" s="126">
        <f t="shared" si="59"/>
        <v>2</v>
      </c>
      <c r="N41" s="126">
        <f t="shared" si="59"/>
        <v>5</v>
      </c>
      <c r="O41" s="126">
        <f t="shared" si="59"/>
        <v>0</v>
      </c>
      <c r="P41" s="126">
        <f t="shared" si="59"/>
        <v>1</v>
      </c>
      <c r="Q41" s="126">
        <f t="shared" si="59"/>
        <v>3</v>
      </c>
      <c r="R41" s="126">
        <f t="shared" si="59"/>
        <v>5</v>
      </c>
      <c r="S41" s="126">
        <f t="shared" si="59"/>
        <v>4</v>
      </c>
      <c r="T41" s="126">
        <f t="shared" si="59"/>
        <v>1</v>
      </c>
      <c r="U41" s="126">
        <f t="shared" si="59"/>
        <v>5</v>
      </c>
      <c r="V41" s="126">
        <f t="shared" si="59"/>
        <v>7</v>
      </c>
      <c r="W41" s="126">
        <f t="shared" si="59"/>
        <v>52</v>
      </c>
      <c r="X41" s="126">
        <f t="shared" si="59"/>
        <v>13</v>
      </c>
      <c r="Y41" s="126">
        <f t="shared" si="59"/>
        <v>32</v>
      </c>
      <c r="Z41" s="126">
        <f t="shared" si="59"/>
        <v>0</v>
      </c>
      <c r="AA41" s="126">
        <f t="shared" si="59"/>
        <v>0</v>
      </c>
      <c r="AB41" s="126">
        <f t="shared" si="59"/>
        <v>0</v>
      </c>
      <c r="AC41" s="126">
        <f t="shared" si="59"/>
        <v>0</v>
      </c>
      <c r="AD41" s="126">
        <f t="shared" si="59"/>
        <v>131</v>
      </c>
      <c r="AE41" s="83"/>
      <c r="AF41" s="66"/>
      <c r="AG41" s="127">
        <f>CORREL(L41:Y41,L$10:Y$10)</f>
        <v>0.9203188585867248</v>
      </c>
      <c r="AH41" s="128">
        <f>CORREL(L41:U41,L$10:U$10)</f>
        <v>0.30685485876010943</v>
      </c>
      <c r="AI41" s="129">
        <f>CORREL(V41:Y41,V$10:Y$10)</f>
        <v>0.95430099598475326</v>
      </c>
      <c r="AJ41" s="95"/>
      <c r="AK41" s="131">
        <f>SUM(AK29:AK40)</f>
        <v>1</v>
      </c>
      <c r="AL41" s="126">
        <f>SUM(AL29:AL40)</f>
        <v>26</v>
      </c>
      <c r="AM41" s="126">
        <f>SUM(AM29:AM40)</f>
        <v>104</v>
      </c>
      <c r="AN41" s="126">
        <f>SUM(AN29:AN40)</f>
        <v>0</v>
      </c>
      <c r="AO41" s="132">
        <f>SUM(AO29:AO40)</f>
        <v>131</v>
      </c>
      <c r="AP41" s="87"/>
      <c r="AQ41" s="133">
        <f>IF(SUM(M41:O41)=0,0,SUM(M41:O41)/SUM(L41:O41))</f>
        <v>1</v>
      </c>
      <c r="AR41" s="134">
        <f>IF(SUM(Q41:R41)=0,0,SUM(Q41:R41)/SUM(P41:U41))</f>
        <v>0.42105263157894735</v>
      </c>
    </row>
    <row r="42" spans="1:44" s="90" customFormat="1" ht="16.5" thickTop="1" thickBot="1" x14ac:dyDescent="0.3">
      <c r="A42" s="79"/>
      <c r="B42" s="79"/>
      <c r="C42" s="125"/>
      <c r="D42" s="111"/>
      <c r="F42" s="93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83"/>
      <c r="AF42" s="153"/>
      <c r="AG42" s="154"/>
      <c r="AH42" s="155"/>
      <c r="AI42" s="156"/>
      <c r="AJ42" s="130"/>
      <c r="AK42" s="96"/>
      <c r="AL42" s="94"/>
      <c r="AM42" s="94"/>
      <c r="AN42" s="94"/>
      <c r="AO42" s="97"/>
      <c r="AP42" s="87"/>
      <c r="AQ42" s="28"/>
      <c r="AR42" s="29"/>
    </row>
    <row r="43" spans="1:44" s="160" customFormat="1" ht="16.5" thickTop="1" thickBot="1" x14ac:dyDescent="0.25">
      <c r="A43" s="157"/>
      <c r="B43" s="157"/>
      <c r="C43" s="158" t="s">
        <v>334</v>
      </c>
      <c r="D43" s="159"/>
      <c r="F43" s="161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>
        <v>14</v>
      </c>
      <c r="T43" s="162">
        <v>2</v>
      </c>
      <c r="U43" s="162">
        <v>7</v>
      </c>
      <c r="V43" s="162">
        <v>9</v>
      </c>
      <c r="W43" s="162">
        <v>105</v>
      </c>
      <c r="X43" s="162">
        <v>18</v>
      </c>
      <c r="Y43" s="162">
        <v>62</v>
      </c>
      <c r="Z43" s="162"/>
      <c r="AA43" s="162"/>
      <c r="AB43" s="162"/>
      <c r="AC43" s="162"/>
      <c r="AD43" s="162">
        <f>SUM(G43:AC43)</f>
        <v>217</v>
      </c>
      <c r="AE43" s="163"/>
      <c r="AF43" s="164"/>
      <c r="AG43" s="165">
        <f>CORREL(L43:Y43,L$10:Y$10)</f>
        <v>0.93927525851827154</v>
      </c>
      <c r="AH43" s="166">
        <f t="shared" ref="AH43" si="60">CORREL(L43:U43,L$10:U$10)</f>
        <v>0.99142766351593714</v>
      </c>
      <c r="AI43" s="167">
        <f>CORREL(V43:Y43,V$10:Y$10)</f>
        <v>0.96199795176589076</v>
      </c>
      <c r="AJ43" s="168"/>
      <c r="AK43" s="169">
        <f>SUM(G43:K43)</f>
        <v>0</v>
      </c>
      <c r="AL43" s="170">
        <f>SUM(L43:U43)</f>
        <v>23</v>
      </c>
      <c r="AM43" s="170">
        <f>SUM(V43:Y43)</f>
        <v>194</v>
      </c>
      <c r="AN43" s="170">
        <f>SUM(Z43:AC43)</f>
        <v>0</v>
      </c>
      <c r="AO43" s="171">
        <f t="shared" ref="AO43" si="61">SUM(AK43:AN43)</f>
        <v>217</v>
      </c>
      <c r="AP43" s="172"/>
      <c r="AQ43" s="173">
        <f t="shared" ref="AQ43" si="62">IF(SUM(M43:O43)=0,0,SUM(M43:O43)/SUM(L43:O43))</f>
        <v>0</v>
      </c>
      <c r="AR43" s="174">
        <f t="shared" ref="AR43" si="63">IF(SUM(Q43:R43)=0,0,SUM(Q43:R43)/SUM(P43:U43))</f>
        <v>0</v>
      </c>
    </row>
    <row r="44" spans="1:44" s="90" customFormat="1" x14ac:dyDescent="0.25">
      <c r="A44" s="79"/>
      <c r="B44" s="79"/>
      <c r="C44" s="175"/>
      <c r="D44" s="111"/>
      <c r="F44" s="93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83"/>
      <c r="AF44" s="153"/>
      <c r="AG44" s="176"/>
      <c r="AH44" s="177"/>
      <c r="AI44" s="178"/>
      <c r="AJ44" s="95"/>
      <c r="AK44" s="179"/>
      <c r="AL44" s="180"/>
      <c r="AM44" s="180"/>
      <c r="AN44" s="180"/>
      <c r="AO44" s="181"/>
      <c r="AP44" s="87"/>
      <c r="AQ44" s="182"/>
      <c r="AR44" s="183"/>
    </row>
    <row r="45" spans="1:44" s="90" customFormat="1" x14ac:dyDescent="0.25">
      <c r="A45" s="79"/>
      <c r="B45" s="119">
        <v>3</v>
      </c>
      <c r="C45" s="80" t="s">
        <v>234</v>
      </c>
      <c r="D45" s="111"/>
      <c r="E45" s="111"/>
      <c r="F45" s="93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83"/>
      <c r="AF45" s="66"/>
      <c r="AG45" s="84"/>
      <c r="AH45" s="85"/>
      <c r="AI45" s="86"/>
      <c r="AJ45" s="95"/>
      <c r="AK45" s="96"/>
      <c r="AL45" s="94"/>
      <c r="AM45" s="94"/>
      <c r="AN45" s="94"/>
      <c r="AO45" s="89"/>
      <c r="AP45" s="87"/>
      <c r="AQ45" s="116"/>
      <c r="AR45" s="117"/>
    </row>
    <row r="46" spans="1:44" s="90" customFormat="1" x14ac:dyDescent="0.25">
      <c r="A46" s="79"/>
      <c r="B46" s="123"/>
      <c r="C46" s="122" t="s">
        <v>229</v>
      </c>
      <c r="D46" s="111"/>
      <c r="E46" s="111"/>
      <c r="F46" s="93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83"/>
      <c r="AF46" s="66"/>
      <c r="AG46" s="84"/>
      <c r="AH46" s="85"/>
      <c r="AI46" s="86"/>
      <c r="AJ46" s="95"/>
      <c r="AK46" s="96"/>
      <c r="AL46" s="94"/>
      <c r="AM46" s="94"/>
      <c r="AN46" s="94"/>
      <c r="AO46" s="89"/>
      <c r="AP46" s="87"/>
      <c r="AQ46" s="116"/>
      <c r="AR46" s="117"/>
    </row>
    <row r="47" spans="1:44" s="90" customFormat="1" x14ac:dyDescent="0.25">
      <c r="A47" s="123">
        <f>+A40+1</f>
        <v>19</v>
      </c>
      <c r="B47" s="79">
        <f>+B45+0.01</f>
        <v>3.01</v>
      </c>
      <c r="C47" s="184" t="s">
        <v>16</v>
      </c>
      <c r="D47" s="111" t="s">
        <v>326</v>
      </c>
      <c r="E47" s="90" t="s">
        <v>153</v>
      </c>
      <c r="F47" s="93" t="s">
        <v>36</v>
      </c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>
        <v>1</v>
      </c>
      <c r="S47" s="82">
        <v>40</v>
      </c>
      <c r="T47" s="82">
        <v>22</v>
      </c>
      <c r="U47" s="82">
        <v>14</v>
      </c>
      <c r="V47" s="82">
        <v>14</v>
      </c>
      <c r="W47" s="82">
        <v>57</v>
      </c>
      <c r="X47" s="82">
        <v>11</v>
      </c>
      <c r="Y47" s="82">
        <v>23</v>
      </c>
      <c r="Z47" s="82"/>
      <c r="AA47" s="82">
        <v>1</v>
      </c>
      <c r="AB47" s="82"/>
      <c r="AC47" s="82">
        <v>1</v>
      </c>
      <c r="AD47" s="82">
        <f t="shared" ref="AD47:AD70" si="64">SUM(G47:AC47)</f>
        <v>184</v>
      </c>
      <c r="AE47" s="83" t="s">
        <v>45</v>
      </c>
      <c r="AF47" s="66"/>
      <c r="AG47" s="84">
        <f>CORREL(L47:Y47,L$10:Y$10)</f>
        <v>0.87958908314890194</v>
      </c>
      <c r="AH47" s="85">
        <f>CORREL(L47:U47,L$10:U$10)</f>
        <v>0.81927412293697832</v>
      </c>
      <c r="AI47" s="86">
        <f t="shared" ref="AI47" si="65">CORREL(V47:Y47,V$10:Y$10)</f>
        <v>0.98762802031048147</v>
      </c>
      <c r="AJ47" s="95"/>
      <c r="AK47" s="96">
        <f t="shared" ref="AK47:AK65" si="66">SUM(G47:K47)</f>
        <v>0</v>
      </c>
      <c r="AL47" s="94">
        <f t="shared" ref="AL47:AL65" si="67">SUM(L47:U47)</f>
        <v>77</v>
      </c>
      <c r="AM47" s="94">
        <f t="shared" ref="AM47:AM70" si="68">SUM(V47:Y47)</f>
        <v>105</v>
      </c>
      <c r="AN47" s="94">
        <f t="shared" ref="AN47:AN65" si="69">SUM(Z47:AC47)</f>
        <v>2</v>
      </c>
      <c r="AO47" s="97">
        <f t="shared" ref="AO47:AO65" si="70">SUM(AK47:AN47)</f>
        <v>184</v>
      </c>
      <c r="AP47" s="87"/>
      <c r="AQ47" s="28">
        <f t="shared" ref="AQ47:AQ62" si="71">IF(SUM(M47:O47)=0,0,SUM(M47:O47)/SUM(L47:O47))</f>
        <v>0</v>
      </c>
      <c r="AR47" s="29">
        <f t="shared" ref="AR47:AR62" si="72">IF(SUM(Q47:R47)=0,0,SUM(Q47:R47)/SUM(P47:U47))</f>
        <v>1.2987012987012988E-2</v>
      </c>
    </row>
    <row r="48" spans="1:44" s="90" customFormat="1" x14ac:dyDescent="0.25">
      <c r="A48" s="123">
        <f>+A47+1</f>
        <v>20</v>
      </c>
      <c r="B48" s="79">
        <f t="shared" ref="B48:B70" si="73">+B47+0.01</f>
        <v>3.0199999999999996</v>
      </c>
      <c r="C48" s="184" t="s">
        <v>55</v>
      </c>
      <c r="D48" s="111" t="s">
        <v>328</v>
      </c>
      <c r="E48" s="90" t="s">
        <v>152</v>
      </c>
      <c r="F48" s="185" t="s">
        <v>36</v>
      </c>
      <c r="G48" s="82"/>
      <c r="H48" s="82"/>
      <c r="I48" s="82"/>
      <c r="J48" s="82"/>
      <c r="K48" s="82"/>
      <c r="L48" s="82">
        <v>1</v>
      </c>
      <c r="M48" s="82">
        <v>11</v>
      </c>
      <c r="N48" s="82">
        <v>21</v>
      </c>
      <c r="O48" s="82">
        <v>2</v>
      </c>
      <c r="P48" s="82">
        <v>28</v>
      </c>
      <c r="Q48" s="82">
        <v>31</v>
      </c>
      <c r="R48" s="82">
        <v>21</v>
      </c>
      <c r="S48" s="82">
        <v>6</v>
      </c>
      <c r="T48" s="82">
        <v>1</v>
      </c>
      <c r="U48" s="82">
        <v>5</v>
      </c>
      <c r="V48" s="82">
        <v>4</v>
      </c>
      <c r="W48" s="82">
        <v>16</v>
      </c>
      <c r="X48" s="82">
        <v>1</v>
      </c>
      <c r="Y48" s="82">
        <v>7</v>
      </c>
      <c r="Z48" s="82"/>
      <c r="AA48" s="82"/>
      <c r="AB48" s="82"/>
      <c r="AC48" s="82"/>
      <c r="AD48" s="82">
        <f t="shared" si="64"/>
        <v>155</v>
      </c>
      <c r="AE48" s="83" t="s">
        <v>57</v>
      </c>
      <c r="AF48" s="66" t="s">
        <v>56</v>
      </c>
      <c r="AG48" s="84">
        <f t="shared" ref="AG48:AG70" si="74">CORREL(L48:Y48,L$10:Y$10)</f>
        <v>-7.9836015648473896E-2</v>
      </c>
      <c r="AH48" s="85">
        <f t="shared" ref="AH48:AH67" si="75">CORREL(L48:U48,L$10:U$10)</f>
        <v>-0.3936554733062525</v>
      </c>
      <c r="AI48" s="86">
        <f t="shared" ref="AI48:AI69" si="76">CORREL(V48:Y48,V$10:Y$10)</f>
        <v>0.99787119242012878</v>
      </c>
      <c r="AJ48" s="95"/>
      <c r="AK48" s="96">
        <f t="shared" si="66"/>
        <v>0</v>
      </c>
      <c r="AL48" s="94">
        <f t="shared" si="67"/>
        <v>127</v>
      </c>
      <c r="AM48" s="94">
        <f t="shared" si="68"/>
        <v>28</v>
      </c>
      <c r="AN48" s="94">
        <f t="shared" si="69"/>
        <v>0</v>
      </c>
      <c r="AO48" s="97">
        <f t="shared" si="70"/>
        <v>155</v>
      </c>
      <c r="AP48" s="87"/>
      <c r="AQ48" s="28">
        <f t="shared" si="71"/>
        <v>0.97142857142857142</v>
      </c>
      <c r="AR48" s="29">
        <f t="shared" si="72"/>
        <v>0.56521739130434778</v>
      </c>
    </row>
    <row r="49" spans="1:44" s="90" customFormat="1" x14ac:dyDescent="0.25">
      <c r="A49" s="123">
        <f>+A48+1</f>
        <v>21</v>
      </c>
      <c r="B49" s="79">
        <f t="shared" si="73"/>
        <v>3.0299999999999994</v>
      </c>
      <c r="C49" s="184" t="s">
        <v>5</v>
      </c>
      <c r="D49" s="111" t="s">
        <v>328</v>
      </c>
      <c r="E49" s="90" t="s">
        <v>143</v>
      </c>
      <c r="F49" s="93" t="s">
        <v>36</v>
      </c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>
        <v>4</v>
      </c>
      <c r="T49" s="82">
        <v>1</v>
      </c>
      <c r="U49" s="82">
        <v>1</v>
      </c>
      <c r="V49" s="82">
        <v>6</v>
      </c>
      <c r="W49" s="82">
        <v>58</v>
      </c>
      <c r="X49" s="82"/>
      <c r="Y49" s="82">
        <v>14</v>
      </c>
      <c r="Z49" s="82"/>
      <c r="AA49" s="82"/>
      <c r="AB49" s="82"/>
      <c r="AC49" s="82">
        <v>1</v>
      </c>
      <c r="AD49" s="82">
        <f t="shared" si="64"/>
        <v>85</v>
      </c>
      <c r="AE49" s="83" t="s">
        <v>41</v>
      </c>
      <c r="AF49" s="66" t="s">
        <v>216</v>
      </c>
      <c r="AG49" s="84">
        <f t="shared" si="74"/>
        <v>0.95593758825241981</v>
      </c>
      <c r="AH49" s="85">
        <f t="shared" si="75"/>
        <v>0.95632471578712019</v>
      </c>
      <c r="AI49" s="86">
        <f t="shared" si="76"/>
        <v>0.98605558211085742</v>
      </c>
      <c r="AJ49" s="95"/>
      <c r="AK49" s="96">
        <f t="shared" si="66"/>
        <v>0</v>
      </c>
      <c r="AL49" s="94">
        <f t="shared" si="67"/>
        <v>6</v>
      </c>
      <c r="AM49" s="94">
        <f t="shared" si="68"/>
        <v>78</v>
      </c>
      <c r="AN49" s="94">
        <f t="shared" si="69"/>
        <v>1</v>
      </c>
      <c r="AO49" s="97">
        <f t="shared" si="70"/>
        <v>85</v>
      </c>
      <c r="AP49" s="87"/>
      <c r="AQ49" s="28">
        <f t="shared" si="71"/>
        <v>0</v>
      </c>
      <c r="AR49" s="29">
        <f t="shared" si="72"/>
        <v>0</v>
      </c>
    </row>
    <row r="50" spans="1:44" s="90" customFormat="1" x14ac:dyDescent="0.25">
      <c r="A50" s="123">
        <f>+A49+1</f>
        <v>22</v>
      </c>
      <c r="B50" s="79">
        <f t="shared" si="73"/>
        <v>3.0399999999999991</v>
      </c>
      <c r="C50" s="184" t="s">
        <v>91</v>
      </c>
      <c r="D50" s="111" t="s">
        <v>327</v>
      </c>
      <c r="E50" s="90" t="s">
        <v>148</v>
      </c>
      <c r="F50" s="93" t="s">
        <v>36</v>
      </c>
      <c r="G50" s="82"/>
      <c r="H50" s="82"/>
      <c r="I50" s="82"/>
      <c r="J50" s="82"/>
      <c r="K50" s="82"/>
      <c r="L50" s="82">
        <v>1</v>
      </c>
      <c r="M50" s="82"/>
      <c r="N50" s="82">
        <v>3</v>
      </c>
      <c r="O50" s="82"/>
      <c r="P50" s="82">
        <v>2</v>
      </c>
      <c r="Q50" s="82">
        <v>10</v>
      </c>
      <c r="R50" s="82">
        <v>6</v>
      </c>
      <c r="S50" s="82">
        <f>4+4</f>
        <v>8</v>
      </c>
      <c r="T50" s="82">
        <f>2+1</f>
        <v>3</v>
      </c>
      <c r="U50" s="82">
        <v>1</v>
      </c>
      <c r="V50" s="82">
        <f>2+2</f>
        <v>4</v>
      </c>
      <c r="W50" s="82">
        <v>39</v>
      </c>
      <c r="X50" s="82">
        <v>1</v>
      </c>
      <c r="Y50" s="82">
        <v>2</v>
      </c>
      <c r="Z50" s="82"/>
      <c r="AA50" s="82">
        <v>2</v>
      </c>
      <c r="AB50" s="82"/>
      <c r="AC50" s="82"/>
      <c r="AD50" s="82">
        <f t="shared" si="64"/>
        <v>82</v>
      </c>
      <c r="AE50" s="83" t="s">
        <v>57</v>
      </c>
      <c r="AF50" s="186" t="s">
        <v>209</v>
      </c>
      <c r="AG50" s="84">
        <f t="shared" si="74"/>
        <v>0.8446175279699778</v>
      </c>
      <c r="AH50" s="85">
        <f t="shared" si="75"/>
        <v>0.30573003635729695</v>
      </c>
      <c r="AI50" s="86">
        <f t="shared" si="76"/>
        <v>0.9242273543944971</v>
      </c>
      <c r="AJ50" s="95"/>
      <c r="AK50" s="96">
        <f t="shared" si="66"/>
        <v>0</v>
      </c>
      <c r="AL50" s="94">
        <f t="shared" si="67"/>
        <v>34</v>
      </c>
      <c r="AM50" s="94">
        <f t="shared" si="68"/>
        <v>46</v>
      </c>
      <c r="AN50" s="94">
        <f t="shared" si="69"/>
        <v>2</v>
      </c>
      <c r="AO50" s="97">
        <f t="shared" si="70"/>
        <v>82</v>
      </c>
      <c r="AP50" s="87"/>
      <c r="AQ50" s="28">
        <f t="shared" si="71"/>
        <v>0.75</v>
      </c>
      <c r="AR50" s="29">
        <f t="shared" si="72"/>
        <v>0.53333333333333333</v>
      </c>
    </row>
    <row r="51" spans="1:44" s="90" customFormat="1" x14ac:dyDescent="0.25">
      <c r="A51" s="123">
        <f>+A50+1</f>
        <v>23</v>
      </c>
      <c r="B51" s="79">
        <f t="shared" si="73"/>
        <v>3.0499999999999989</v>
      </c>
      <c r="C51" s="187" t="s">
        <v>125</v>
      </c>
      <c r="D51" s="111" t="s">
        <v>328</v>
      </c>
      <c r="E51" s="90" t="s">
        <v>145</v>
      </c>
      <c r="F51" s="93" t="s">
        <v>36</v>
      </c>
      <c r="G51" s="82"/>
      <c r="H51" s="82">
        <v>1</v>
      </c>
      <c r="I51" s="82"/>
      <c r="J51" s="82"/>
      <c r="K51" s="82"/>
      <c r="L51" s="82">
        <v>1</v>
      </c>
      <c r="M51" s="82">
        <v>1</v>
      </c>
      <c r="N51" s="82">
        <v>2</v>
      </c>
      <c r="O51" s="82"/>
      <c r="P51" s="82">
        <v>1</v>
      </c>
      <c r="Q51" s="82">
        <v>3</v>
      </c>
      <c r="R51" s="82">
        <v>8</v>
      </c>
      <c r="S51" s="82">
        <v>5</v>
      </c>
      <c r="T51" s="82">
        <v>1</v>
      </c>
      <c r="U51" s="82">
        <v>2</v>
      </c>
      <c r="V51" s="82">
        <v>1</v>
      </c>
      <c r="W51" s="82">
        <v>6</v>
      </c>
      <c r="X51" s="82">
        <v>2</v>
      </c>
      <c r="Y51" s="82"/>
      <c r="Z51" s="82"/>
      <c r="AA51" s="82"/>
      <c r="AB51" s="82"/>
      <c r="AC51" s="82">
        <v>1</v>
      </c>
      <c r="AD51" s="82">
        <f t="shared" si="64"/>
        <v>35</v>
      </c>
      <c r="AE51" s="83" t="s">
        <v>39</v>
      </c>
      <c r="AF51" s="153" t="s">
        <v>197</v>
      </c>
      <c r="AG51" s="84">
        <f t="shared" si="74"/>
        <v>0.48634922893262195</v>
      </c>
      <c r="AH51" s="85">
        <f t="shared" si="75"/>
        <v>0.3512150264412765</v>
      </c>
      <c r="AI51" s="86">
        <f t="shared" si="76"/>
        <v>0.94762660071068028</v>
      </c>
      <c r="AJ51" s="95"/>
      <c r="AK51" s="96">
        <f t="shared" si="66"/>
        <v>1</v>
      </c>
      <c r="AL51" s="94">
        <f t="shared" si="67"/>
        <v>24</v>
      </c>
      <c r="AM51" s="94">
        <f t="shared" si="68"/>
        <v>9</v>
      </c>
      <c r="AN51" s="94">
        <f t="shared" si="69"/>
        <v>1</v>
      </c>
      <c r="AO51" s="97">
        <f t="shared" si="70"/>
        <v>35</v>
      </c>
      <c r="AP51" s="87"/>
      <c r="AQ51" s="28">
        <f t="shared" si="71"/>
        <v>0.75</v>
      </c>
      <c r="AR51" s="29">
        <f t="shared" si="72"/>
        <v>0.55000000000000004</v>
      </c>
    </row>
    <row r="52" spans="1:44" s="90" customFormat="1" x14ac:dyDescent="0.25">
      <c r="A52" s="123">
        <f>+A48+1</f>
        <v>21</v>
      </c>
      <c r="B52" s="79">
        <f t="shared" si="73"/>
        <v>3.0599999999999987</v>
      </c>
      <c r="C52" s="184" t="s">
        <v>17</v>
      </c>
      <c r="D52" s="111" t="s">
        <v>327</v>
      </c>
      <c r="E52" s="90" t="s">
        <v>150</v>
      </c>
      <c r="F52" s="93" t="s">
        <v>36</v>
      </c>
      <c r="G52" s="82"/>
      <c r="H52" s="82"/>
      <c r="I52" s="82"/>
      <c r="J52" s="82"/>
      <c r="K52" s="82"/>
      <c r="L52" s="82"/>
      <c r="M52" s="82"/>
      <c r="N52" s="82">
        <v>2</v>
      </c>
      <c r="O52" s="82"/>
      <c r="P52" s="82"/>
      <c r="Q52" s="82"/>
      <c r="R52" s="82">
        <v>1</v>
      </c>
      <c r="S52" s="82">
        <v>7</v>
      </c>
      <c r="T52" s="82">
        <v>2</v>
      </c>
      <c r="U52" s="82">
        <v>4</v>
      </c>
      <c r="V52" s="82">
        <v>6</v>
      </c>
      <c r="W52" s="82">
        <v>8</v>
      </c>
      <c r="X52" s="82">
        <v>1</v>
      </c>
      <c r="Y52" s="82">
        <v>2</v>
      </c>
      <c r="Z52" s="82"/>
      <c r="AA52" s="82"/>
      <c r="AB52" s="82"/>
      <c r="AC52" s="82"/>
      <c r="AD52" s="82">
        <f t="shared" si="64"/>
        <v>33</v>
      </c>
      <c r="AE52" s="83" t="s">
        <v>48</v>
      </c>
      <c r="AF52" s="66" t="s">
        <v>196</v>
      </c>
      <c r="AG52" s="84">
        <f t="shared" si="74"/>
        <v>0.71811405300718267</v>
      </c>
      <c r="AH52" s="85">
        <f t="shared" si="75"/>
        <v>0.96840605825640114</v>
      </c>
      <c r="AI52" s="86">
        <f t="shared" si="76"/>
        <v>0.70305557579628131</v>
      </c>
      <c r="AJ52" s="95"/>
      <c r="AK52" s="96">
        <f t="shared" si="66"/>
        <v>0</v>
      </c>
      <c r="AL52" s="94">
        <f t="shared" si="67"/>
        <v>16</v>
      </c>
      <c r="AM52" s="94">
        <f t="shared" si="68"/>
        <v>17</v>
      </c>
      <c r="AN52" s="94">
        <f t="shared" si="69"/>
        <v>0</v>
      </c>
      <c r="AO52" s="97">
        <f t="shared" si="70"/>
        <v>33</v>
      </c>
      <c r="AP52" s="87"/>
      <c r="AQ52" s="28">
        <f t="shared" si="71"/>
        <v>1</v>
      </c>
      <c r="AR52" s="29">
        <f t="shared" si="72"/>
        <v>7.1428571428571425E-2</v>
      </c>
    </row>
    <row r="53" spans="1:44" s="90" customFormat="1" x14ac:dyDescent="0.25">
      <c r="A53" s="123">
        <f t="shared" ref="A53:A70" si="77">+A52+1</f>
        <v>22</v>
      </c>
      <c r="B53" s="79">
        <f t="shared" si="73"/>
        <v>3.0699999999999985</v>
      </c>
      <c r="C53" s="184" t="s">
        <v>4</v>
      </c>
      <c r="D53" s="111" t="s">
        <v>327</v>
      </c>
      <c r="E53" s="90" t="s">
        <v>142</v>
      </c>
      <c r="F53" s="93" t="s">
        <v>36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>
        <v>5</v>
      </c>
      <c r="T53" s="94">
        <v>3</v>
      </c>
      <c r="U53" s="94">
        <v>3</v>
      </c>
      <c r="V53" s="94"/>
      <c r="W53" s="94">
        <v>11</v>
      </c>
      <c r="X53" s="94"/>
      <c r="Y53" s="94">
        <v>8</v>
      </c>
      <c r="Z53" s="94"/>
      <c r="AA53" s="94"/>
      <c r="AB53" s="94"/>
      <c r="AC53" s="94"/>
      <c r="AD53" s="94">
        <f t="shared" si="64"/>
        <v>30</v>
      </c>
      <c r="AE53" s="83" t="s">
        <v>40</v>
      </c>
      <c r="AF53" s="66"/>
      <c r="AG53" s="84">
        <f t="shared" si="74"/>
        <v>0.96524140572799877</v>
      </c>
      <c r="AH53" s="85">
        <f t="shared" si="75"/>
        <v>0.95632471578712031</v>
      </c>
      <c r="AI53" s="86">
        <f t="shared" si="76"/>
        <v>1</v>
      </c>
      <c r="AJ53" s="95"/>
      <c r="AK53" s="96">
        <f t="shared" si="66"/>
        <v>0</v>
      </c>
      <c r="AL53" s="94">
        <f t="shared" si="67"/>
        <v>11</v>
      </c>
      <c r="AM53" s="94">
        <f t="shared" si="68"/>
        <v>19</v>
      </c>
      <c r="AN53" s="94">
        <f t="shared" si="69"/>
        <v>0</v>
      </c>
      <c r="AO53" s="97">
        <f t="shared" si="70"/>
        <v>30</v>
      </c>
      <c r="AP53" s="87"/>
      <c r="AQ53" s="28">
        <f t="shared" si="71"/>
        <v>0</v>
      </c>
      <c r="AR53" s="29">
        <f t="shared" si="72"/>
        <v>0</v>
      </c>
    </row>
    <row r="54" spans="1:44" s="90" customFormat="1" x14ac:dyDescent="0.25">
      <c r="A54" s="123">
        <f t="shared" si="77"/>
        <v>23</v>
      </c>
      <c r="B54" s="79">
        <f t="shared" si="73"/>
        <v>3.0799999999999983</v>
      </c>
      <c r="C54" s="188" t="s">
        <v>269</v>
      </c>
      <c r="D54" s="111" t="s">
        <v>326</v>
      </c>
      <c r="E54" s="1" t="s">
        <v>283</v>
      </c>
      <c r="F54" s="189" t="s">
        <v>36</v>
      </c>
      <c r="G54" s="94"/>
      <c r="H54" s="94"/>
      <c r="I54" s="94"/>
      <c r="J54" s="94"/>
      <c r="K54" s="94"/>
      <c r="L54" s="94"/>
      <c r="M54" s="94">
        <v>3</v>
      </c>
      <c r="N54" s="94">
        <v>5</v>
      </c>
      <c r="O54" s="94"/>
      <c r="P54" s="94">
        <v>4</v>
      </c>
      <c r="Q54" s="94">
        <v>2</v>
      </c>
      <c r="R54" s="94">
        <v>5</v>
      </c>
      <c r="S54" s="94">
        <v>3</v>
      </c>
      <c r="T54" s="94">
        <v>1</v>
      </c>
      <c r="U54" s="94">
        <v>1</v>
      </c>
      <c r="V54" s="94"/>
      <c r="W54" s="94">
        <v>2</v>
      </c>
      <c r="X54" s="94"/>
      <c r="Y54" s="94">
        <v>2</v>
      </c>
      <c r="Z54" s="94"/>
      <c r="AA54" s="94"/>
      <c r="AB54" s="94"/>
      <c r="AC54" s="94"/>
      <c r="AD54" s="94">
        <f t="shared" si="64"/>
        <v>28</v>
      </c>
      <c r="AE54" s="90" t="s">
        <v>272</v>
      </c>
      <c r="AF54" s="66"/>
      <c r="AG54" s="84">
        <f t="shared" si="74"/>
        <v>-0.29099437665642425</v>
      </c>
      <c r="AH54" s="85">
        <f t="shared" si="75"/>
        <v>-0.14953761834036716</v>
      </c>
      <c r="AI54" s="86"/>
      <c r="AJ54" s="95"/>
      <c r="AK54" s="96">
        <f t="shared" si="66"/>
        <v>0</v>
      </c>
      <c r="AL54" s="94">
        <f t="shared" si="67"/>
        <v>24</v>
      </c>
      <c r="AM54" s="94">
        <f t="shared" si="68"/>
        <v>4</v>
      </c>
      <c r="AN54" s="94">
        <f t="shared" si="69"/>
        <v>0</v>
      </c>
      <c r="AO54" s="97">
        <f t="shared" si="70"/>
        <v>28</v>
      </c>
      <c r="AP54" s="87"/>
      <c r="AQ54" s="28">
        <f t="shared" si="71"/>
        <v>1</v>
      </c>
      <c r="AR54" s="29">
        <f t="shared" si="72"/>
        <v>0.4375</v>
      </c>
    </row>
    <row r="55" spans="1:44" s="90" customFormat="1" x14ac:dyDescent="0.25">
      <c r="A55" s="123">
        <f t="shared" si="77"/>
        <v>24</v>
      </c>
      <c r="B55" s="79">
        <f t="shared" si="73"/>
        <v>3.0899999999999981</v>
      </c>
      <c r="C55" s="184" t="s">
        <v>92</v>
      </c>
      <c r="D55" s="111" t="s">
        <v>328</v>
      </c>
      <c r="E55" s="90" t="s">
        <v>144</v>
      </c>
      <c r="F55" s="93" t="s">
        <v>36</v>
      </c>
      <c r="G55" s="94"/>
      <c r="H55" s="94"/>
      <c r="I55" s="94"/>
      <c r="J55" s="94"/>
      <c r="K55" s="94"/>
      <c r="L55" s="94"/>
      <c r="M55" s="94"/>
      <c r="N55" s="94"/>
      <c r="O55" s="94"/>
      <c r="P55" s="94">
        <v>3</v>
      </c>
      <c r="Q55" s="94">
        <v>2</v>
      </c>
      <c r="R55" s="94">
        <v>2</v>
      </c>
      <c r="S55" s="94">
        <v>1</v>
      </c>
      <c r="T55" s="94"/>
      <c r="U55" s="94"/>
      <c r="V55" s="94">
        <v>3</v>
      </c>
      <c r="W55" s="94">
        <v>11</v>
      </c>
      <c r="X55" s="94">
        <v>1</v>
      </c>
      <c r="Y55" s="94">
        <v>1</v>
      </c>
      <c r="Z55" s="94"/>
      <c r="AA55" s="94"/>
      <c r="AB55" s="94"/>
      <c r="AC55" s="94"/>
      <c r="AD55" s="94">
        <f t="shared" si="64"/>
        <v>24</v>
      </c>
      <c r="AE55" s="83" t="s">
        <v>58</v>
      </c>
      <c r="AF55" s="66" t="s">
        <v>216</v>
      </c>
      <c r="AG55" s="84">
        <f t="shared" si="74"/>
        <v>0.78308443442909581</v>
      </c>
      <c r="AH55" s="85">
        <f t="shared" si="75"/>
        <v>-0.83761390071289343</v>
      </c>
      <c r="AI55" s="86">
        <f t="shared" si="76"/>
        <v>0.89090744395984134</v>
      </c>
      <c r="AJ55" s="95"/>
      <c r="AK55" s="96">
        <f t="shared" si="66"/>
        <v>0</v>
      </c>
      <c r="AL55" s="94">
        <f t="shared" si="67"/>
        <v>8</v>
      </c>
      <c r="AM55" s="94">
        <f t="shared" si="68"/>
        <v>16</v>
      </c>
      <c r="AN55" s="94">
        <f t="shared" si="69"/>
        <v>0</v>
      </c>
      <c r="AO55" s="97">
        <f t="shared" si="70"/>
        <v>24</v>
      </c>
      <c r="AP55" s="87"/>
      <c r="AQ55" s="28">
        <f t="shared" si="71"/>
        <v>0</v>
      </c>
      <c r="AR55" s="29">
        <f t="shared" si="72"/>
        <v>0.5</v>
      </c>
    </row>
    <row r="56" spans="1:44" s="90" customFormat="1" x14ac:dyDescent="0.25">
      <c r="A56" s="123">
        <f t="shared" si="77"/>
        <v>25</v>
      </c>
      <c r="B56" s="79">
        <f t="shared" si="73"/>
        <v>3.0999999999999979</v>
      </c>
      <c r="C56" s="184" t="s">
        <v>126</v>
      </c>
      <c r="D56" s="111" t="s">
        <v>326</v>
      </c>
      <c r="E56" s="90" t="s">
        <v>149</v>
      </c>
      <c r="F56" s="93" t="s">
        <v>36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>
        <v>4</v>
      </c>
      <c r="T56" s="94"/>
      <c r="U56" s="94">
        <v>1</v>
      </c>
      <c r="V56" s="94">
        <v>1</v>
      </c>
      <c r="W56" s="94">
        <v>7</v>
      </c>
      <c r="X56" s="94"/>
      <c r="Y56" s="94">
        <v>4</v>
      </c>
      <c r="Z56" s="94"/>
      <c r="AA56" s="94"/>
      <c r="AB56" s="94"/>
      <c r="AC56" s="94"/>
      <c r="AD56" s="94">
        <f t="shared" si="64"/>
        <v>17</v>
      </c>
      <c r="AE56" s="83" t="s">
        <v>48</v>
      </c>
      <c r="AF56" s="66"/>
      <c r="AG56" s="84">
        <f t="shared" si="74"/>
        <v>0.95337985955951021</v>
      </c>
      <c r="AH56" s="85">
        <f t="shared" si="75"/>
        <v>1</v>
      </c>
      <c r="AI56" s="86">
        <f t="shared" si="76"/>
        <v>0.97738907797121111</v>
      </c>
      <c r="AJ56" s="95"/>
      <c r="AK56" s="96">
        <f t="shared" si="66"/>
        <v>0</v>
      </c>
      <c r="AL56" s="94">
        <f t="shared" si="67"/>
        <v>5</v>
      </c>
      <c r="AM56" s="94">
        <f t="shared" si="68"/>
        <v>12</v>
      </c>
      <c r="AN56" s="94">
        <f t="shared" si="69"/>
        <v>0</v>
      </c>
      <c r="AO56" s="97">
        <f t="shared" si="70"/>
        <v>17</v>
      </c>
      <c r="AP56" s="87"/>
      <c r="AQ56" s="28">
        <f t="shared" si="71"/>
        <v>0</v>
      </c>
      <c r="AR56" s="29">
        <f t="shared" si="72"/>
        <v>0</v>
      </c>
    </row>
    <row r="57" spans="1:44" s="90" customFormat="1" x14ac:dyDescent="0.25">
      <c r="A57" s="123">
        <f t="shared" si="77"/>
        <v>26</v>
      </c>
      <c r="B57" s="79">
        <f t="shared" si="73"/>
        <v>3.1099999999999977</v>
      </c>
      <c r="C57" s="111" t="s">
        <v>90</v>
      </c>
      <c r="D57" s="111" t="s">
        <v>326</v>
      </c>
      <c r="E57" s="90" t="s">
        <v>168</v>
      </c>
      <c r="F57" s="93" t="s">
        <v>36</v>
      </c>
      <c r="G57" s="94"/>
      <c r="H57" s="94"/>
      <c r="I57" s="94"/>
      <c r="J57" s="94"/>
      <c r="K57" s="94"/>
      <c r="L57" s="94">
        <v>3</v>
      </c>
      <c r="M57" s="94">
        <v>3</v>
      </c>
      <c r="N57" s="94">
        <v>4</v>
      </c>
      <c r="O57" s="94"/>
      <c r="P57" s="94"/>
      <c r="Q57" s="94"/>
      <c r="R57" s="94">
        <v>2</v>
      </c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>
        <v>1</v>
      </c>
      <c r="AD57" s="94">
        <f t="shared" si="64"/>
        <v>13</v>
      </c>
      <c r="AE57" s="83" t="s">
        <v>74</v>
      </c>
      <c r="AF57" s="66" t="s">
        <v>205</v>
      </c>
      <c r="AG57" s="84">
        <f t="shared" si="74"/>
        <v>-0.40029662592137294</v>
      </c>
      <c r="AH57" s="85">
        <f t="shared" si="75"/>
        <v>-0.40029662592137294</v>
      </c>
      <c r="AI57" s="86"/>
      <c r="AJ57" s="95"/>
      <c r="AK57" s="96">
        <f t="shared" si="66"/>
        <v>0</v>
      </c>
      <c r="AL57" s="94">
        <f t="shared" si="67"/>
        <v>12</v>
      </c>
      <c r="AM57" s="94">
        <f t="shared" si="68"/>
        <v>0</v>
      </c>
      <c r="AN57" s="94">
        <f t="shared" si="69"/>
        <v>1</v>
      </c>
      <c r="AO57" s="97">
        <f t="shared" si="70"/>
        <v>13</v>
      </c>
      <c r="AP57" s="87"/>
      <c r="AQ57" s="28">
        <f t="shared" si="71"/>
        <v>0.7</v>
      </c>
      <c r="AR57" s="29">
        <f t="shared" si="72"/>
        <v>1</v>
      </c>
    </row>
    <row r="58" spans="1:44" s="90" customFormat="1" x14ac:dyDescent="0.25">
      <c r="A58" s="123">
        <f t="shared" si="77"/>
        <v>27</v>
      </c>
      <c r="B58" s="79">
        <f t="shared" si="73"/>
        <v>3.1199999999999974</v>
      </c>
      <c r="C58" s="187" t="s">
        <v>128</v>
      </c>
      <c r="D58" s="111" t="s">
        <v>326</v>
      </c>
      <c r="E58" s="90" t="s">
        <v>138</v>
      </c>
      <c r="F58" s="93" t="s">
        <v>36</v>
      </c>
      <c r="G58" s="94"/>
      <c r="H58" s="94"/>
      <c r="I58" s="94"/>
      <c r="J58" s="94">
        <v>1</v>
      </c>
      <c r="K58" s="94"/>
      <c r="L58" s="94">
        <v>1</v>
      </c>
      <c r="M58" s="94">
        <v>1</v>
      </c>
      <c r="N58" s="94"/>
      <c r="O58" s="94"/>
      <c r="P58" s="94"/>
      <c r="Q58" s="94"/>
      <c r="R58" s="94"/>
      <c r="S58" s="94">
        <v>2</v>
      </c>
      <c r="T58" s="94"/>
      <c r="U58" s="94">
        <v>1</v>
      </c>
      <c r="V58" s="94"/>
      <c r="W58" s="94">
        <v>5</v>
      </c>
      <c r="X58" s="94"/>
      <c r="Y58" s="94">
        <v>2</v>
      </c>
      <c r="Z58" s="94"/>
      <c r="AA58" s="94"/>
      <c r="AB58" s="94"/>
      <c r="AC58" s="94"/>
      <c r="AD58" s="94">
        <f t="shared" si="64"/>
        <v>13</v>
      </c>
      <c r="AE58" s="83" t="s">
        <v>40</v>
      </c>
      <c r="AF58" s="66" t="s">
        <v>196</v>
      </c>
      <c r="AG58" s="84">
        <f t="shared" si="74"/>
        <v>0.98108289816083538</v>
      </c>
      <c r="AH58" s="85">
        <f t="shared" si="75"/>
        <v>0.95431426126412089</v>
      </c>
      <c r="AI58" s="86">
        <f t="shared" si="76"/>
        <v>1</v>
      </c>
      <c r="AJ58" s="95"/>
      <c r="AK58" s="96">
        <f t="shared" si="66"/>
        <v>1</v>
      </c>
      <c r="AL58" s="94">
        <f t="shared" si="67"/>
        <v>5</v>
      </c>
      <c r="AM58" s="94">
        <f t="shared" si="68"/>
        <v>7</v>
      </c>
      <c r="AN58" s="94">
        <f t="shared" si="69"/>
        <v>0</v>
      </c>
      <c r="AO58" s="97">
        <f t="shared" si="70"/>
        <v>13</v>
      </c>
      <c r="AP58" s="87"/>
      <c r="AQ58" s="28">
        <f t="shared" si="71"/>
        <v>0.5</v>
      </c>
      <c r="AR58" s="29">
        <f t="shared" si="72"/>
        <v>0</v>
      </c>
    </row>
    <row r="59" spans="1:44" s="90" customFormat="1" x14ac:dyDescent="0.25">
      <c r="A59" s="123">
        <f t="shared" si="77"/>
        <v>28</v>
      </c>
      <c r="B59" s="79">
        <f t="shared" si="73"/>
        <v>3.1299999999999972</v>
      </c>
      <c r="C59" s="187" t="s">
        <v>130</v>
      </c>
      <c r="D59" s="111" t="s">
        <v>326</v>
      </c>
      <c r="E59" s="90" t="s">
        <v>147</v>
      </c>
      <c r="F59" s="93" t="s">
        <v>36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>
        <v>1</v>
      </c>
      <c r="S59" s="94">
        <v>4</v>
      </c>
      <c r="T59" s="94"/>
      <c r="U59" s="94"/>
      <c r="V59" s="94">
        <v>3</v>
      </c>
      <c r="W59" s="94">
        <v>4</v>
      </c>
      <c r="X59" s="94">
        <v>1</v>
      </c>
      <c r="Y59" s="94"/>
      <c r="Z59" s="94"/>
      <c r="AA59" s="94"/>
      <c r="AB59" s="94"/>
      <c r="AC59" s="94"/>
      <c r="AD59" s="94">
        <f t="shared" si="64"/>
        <v>13</v>
      </c>
      <c r="AE59" s="83" t="s">
        <v>46</v>
      </c>
      <c r="AF59" s="66" t="s">
        <v>212</v>
      </c>
      <c r="AG59" s="84">
        <f t="shared" si="74"/>
        <v>0.75981558266582239</v>
      </c>
      <c r="AH59" s="85">
        <f t="shared" si="75"/>
        <v>1</v>
      </c>
      <c r="AI59" s="86">
        <f t="shared" si="76"/>
        <v>0.83713366066308526</v>
      </c>
      <c r="AJ59" s="95"/>
      <c r="AK59" s="96">
        <f t="shared" si="66"/>
        <v>0</v>
      </c>
      <c r="AL59" s="94">
        <f t="shared" si="67"/>
        <v>5</v>
      </c>
      <c r="AM59" s="94">
        <f t="shared" si="68"/>
        <v>8</v>
      </c>
      <c r="AN59" s="94">
        <f t="shared" si="69"/>
        <v>0</v>
      </c>
      <c r="AO59" s="97">
        <f t="shared" si="70"/>
        <v>13</v>
      </c>
      <c r="AP59" s="87"/>
      <c r="AQ59" s="28">
        <f t="shared" si="71"/>
        <v>0</v>
      </c>
      <c r="AR59" s="29">
        <f t="shared" si="72"/>
        <v>0.2</v>
      </c>
    </row>
    <row r="60" spans="1:44" s="90" customFormat="1" ht="15" customHeight="1" x14ac:dyDescent="0.25">
      <c r="A60" s="123">
        <f t="shared" si="77"/>
        <v>29</v>
      </c>
      <c r="B60" s="79">
        <f t="shared" si="73"/>
        <v>3.139999999999997</v>
      </c>
      <c r="C60" s="190" t="s">
        <v>121</v>
      </c>
      <c r="D60" s="111" t="s">
        <v>328</v>
      </c>
      <c r="E60" s="90" t="s">
        <v>146</v>
      </c>
      <c r="F60" s="93" t="s">
        <v>36</v>
      </c>
      <c r="G60" s="94"/>
      <c r="H60" s="94"/>
      <c r="I60" s="94"/>
      <c r="J60" s="94">
        <v>1</v>
      </c>
      <c r="K60" s="94"/>
      <c r="L60" s="94"/>
      <c r="M60" s="94"/>
      <c r="N60" s="94"/>
      <c r="O60" s="94"/>
      <c r="P60" s="94">
        <v>3</v>
      </c>
      <c r="Q60" s="94">
        <v>5</v>
      </c>
      <c r="R60" s="94">
        <v>2</v>
      </c>
      <c r="S60" s="94"/>
      <c r="T60" s="94"/>
      <c r="U60" s="94">
        <v>1</v>
      </c>
      <c r="V60" s="94"/>
      <c r="W60" s="94">
        <v>1</v>
      </c>
      <c r="X60" s="94"/>
      <c r="Y60" s="94"/>
      <c r="Z60" s="94"/>
      <c r="AA60" s="94"/>
      <c r="AB60" s="94"/>
      <c r="AC60" s="94"/>
      <c r="AD60" s="94">
        <f t="shared" si="64"/>
        <v>13</v>
      </c>
      <c r="AE60" s="83" t="s">
        <v>122</v>
      </c>
      <c r="AF60" s="66" t="s">
        <v>210</v>
      </c>
      <c r="AG60" s="84">
        <f t="shared" si="74"/>
        <v>-0.53498556627681704</v>
      </c>
      <c r="AH60" s="85">
        <f t="shared" si="75"/>
        <v>-0.74751400648302302</v>
      </c>
      <c r="AI60" s="86"/>
      <c r="AJ60" s="95"/>
      <c r="AK60" s="96">
        <f t="shared" si="66"/>
        <v>1</v>
      </c>
      <c r="AL60" s="94">
        <f t="shared" si="67"/>
        <v>11</v>
      </c>
      <c r="AM60" s="94">
        <f t="shared" si="68"/>
        <v>1</v>
      </c>
      <c r="AN60" s="94">
        <f t="shared" si="69"/>
        <v>0</v>
      </c>
      <c r="AO60" s="97">
        <f t="shared" si="70"/>
        <v>13</v>
      </c>
      <c r="AP60" s="87"/>
      <c r="AQ60" s="28">
        <f t="shared" si="71"/>
        <v>0</v>
      </c>
      <c r="AR60" s="29">
        <f t="shared" si="72"/>
        <v>0.63636363636363635</v>
      </c>
    </row>
    <row r="61" spans="1:44" s="90" customFormat="1" x14ac:dyDescent="0.25">
      <c r="A61" s="123">
        <f t="shared" si="77"/>
        <v>30</v>
      </c>
      <c r="B61" s="79">
        <f t="shared" si="73"/>
        <v>3.1499999999999968</v>
      </c>
      <c r="C61" s="184" t="s">
        <v>129</v>
      </c>
      <c r="D61" s="111" t="s">
        <v>326</v>
      </c>
      <c r="E61" s="90" t="s">
        <v>155</v>
      </c>
      <c r="F61" s="93" t="s">
        <v>36</v>
      </c>
      <c r="G61" s="94"/>
      <c r="H61" s="94">
        <v>1</v>
      </c>
      <c r="I61" s="94"/>
      <c r="J61" s="94"/>
      <c r="K61" s="94"/>
      <c r="L61" s="94"/>
      <c r="M61" s="94"/>
      <c r="N61" s="94">
        <v>1</v>
      </c>
      <c r="O61" s="94"/>
      <c r="P61" s="94">
        <v>1</v>
      </c>
      <c r="Q61" s="94"/>
      <c r="R61" s="94"/>
      <c r="S61" s="94"/>
      <c r="T61" s="94"/>
      <c r="U61" s="94"/>
      <c r="V61" s="94">
        <v>1</v>
      </c>
      <c r="W61" s="94">
        <v>5</v>
      </c>
      <c r="X61" s="94"/>
      <c r="Y61" s="94">
        <v>1</v>
      </c>
      <c r="Z61" s="94"/>
      <c r="AA61" s="94"/>
      <c r="AB61" s="94"/>
      <c r="AC61" s="94"/>
      <c r="AD61" s="94">
        <f t="shared" si="64"/>
        <v>10</v>
      </c>
      <c r="AE61" s="83" t="s">
        <v>136</v>
      </c>
      <c r="AF61" s="66"/>
      <c r="AG61" s="84">
        <f t="shared" si="74"/>
        <v>0.90127060411619231</v>
      </c>
      <c r="AH61" s="85"/>
      <c r="AI61" s="86">
        <f t="shared" si="76"/>
        <v>0.95216816527803283</v>
      </c>
      <c r="AJ61" s="95"/>
      <c r="AK61" s="96">
        <f t="shared" si="66"/>
        <v>1</v>
      </c>
      <c r="AL61" s="94">
        <f t="shared" si="67"/>
        <v>2</v>
      </c>
      <c r="AM61" s="94">
        <f t="shared" si="68"/>
        <v>7</v>
      </c>
      <c r="AN61" s="94">
        <f t="shared" si="69"/>
        <v>0</v>
      </c>
      <c r="AO61" s="97">
        <f t="shared" si="70"/>
        <v>10</v>
      </c>
      <c r="AP61" s="87"/>
      <c r="AQ61" s="28">
        <f t="shared" si="71"/>
        <v>1</v>
      </c>
      <c r="AR61" s="29">
        <f t="shared" si="72"/>
        <v>0</v>
      </c>
    </row>
    <row r="62" spans="1:44" s="90" customFormat="1" x14ac:dyDescent="0.25">
      <c r="A62" s="123">
        <f t="shared" si="77"/>
        <v>31</v>
      </c>
      <c r="B62" s="79">
        <f t="shared" si="73"/>
        <v>3.1599999999999966</v>
      </c>
      <c r="C62" s="187" t="s">
        <v>217</v>
      </c>
      <c r="D62" s="111" t="s">
        <v>326</v>
      </c>
      <c r="E62" s="90" t="s">
        <v>218</v>
      </c>
      <c r="F62" s="93" t="s">
        <v>36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>
        <v>3</v>
      </c>
      <c r="T62" s="94"/>
      <c r="U62" s="94"/>
      <c r="V62" s="94"/>
      <c r="W62" s="94">
        <v>5</v>
      </c>
      <c r="X62" s="94"/>
      <c r="Y62" s="94">
        <v>2</v>
      </c>
      <c r="Z62" s="94"/>
      <c r="AA62" s="94"/>
      <c r="AB62" s="94"/>
      <c r="AC62" s="94"/>
      <c r="AD62" s="94">
        <f t="shared" si="64"/>
        <v>10</v>
      </c>
      <c r="AE62" s="83" t="s">
        <v>34</v>
      </c>
      <c r="AF62" s="66" t="s">
        <v>219</v>
      </c>
      <c r="AG62" s="84">
        <f t="shared" si="74"/>
        <v>0.89213339972883421</v>
      </c>
      <c r="AH62" s="85"/>
      <c r="AI62" s="86">
        <f t="shared" si="76"/>
        <v>1</v>
      </c>
      <c r="AJ62" s="95"/>
      <c r="AK62" s="96">
        <f t="shared" si="66"/>
        <v>0</v>
      </c>
      <c r="AL62" s="94">
        <f t="shared" si="67"/>
        <v>3</v>
      </c>
      <c r="AM62" s="94">
        <f t="shared" si="68"/>
        <v>7</v>
      </c>
      <c r="AN62" s="94">
        <f t="shared" si="69"/>
        <v>0</v>
      </c>
      <c r="AO62" s="97">
        <f t="shared" si="70"/>
        <v>10</v>
      </c>
      <c r="AP62" s="87"/>
      <c r="AQ62" s="28">
        <f t="shared" si="71"/>
        <v>0</v>
      </c>
      <c r="AR62" s="29">
        <f t="shared" si="72"/>
        <v>0</v>
      </c>
    </row>
    <row r="63" spans="1:44" s="90" customFormat="1" x14ac:dyDescent="0.25">
      <c r="A63" s="123">
        <f t="shared" si="77"/>
        <v>32</v>
      </c>
      <c r="B63" s="79">
        <f t="shared" si="73"/>
        <v>3.1699999999999964</v>
      </c>
      <c r="C63" s="184" t="s">
        <v>132</v>
      </c>
      <c r="D63" s="111" t="s">
        <v>326</v>
      </c>
      <c r="E63" s="90" t="s">
        <v>151</v>
      </c>
      <c r="F63" s="93" t="s">
        <v>36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>
        <v>2</v>
      </c>
      <c r="S63" s="94"/>
      <c r="T63" s="94">
        <v>1</v>
      </c>
      <c r="U63" s="94"/>
      <c r="V63" s="94"/>
      <c r="W63" s="94">
        <v>3</v>
      </c>
      <c r="X63" s="94">
        <v>1</v>
      </c>
      <c r="Y63" s="94">
        <v>2</v>
      </c>
      <c r="Z63" s="94"/>
      <c r="AA63" s="94"/>
      <c r="AB63" s="94"/>
      <c r="AC63" s="94"/>
      <c r="AD63" s="94">
        <f t="shared" si="64"/>
        <v>9</v>
      </c>
      <c r="AE63" s="83" t="s">
        <v>135</v>
      </c>
      <c r="AF63" s="66"/>
      <c r="AG63" s="84">
        <f t="shared" si="74"/>
        <v>0.86729306656358085</v>
      </c>
      <c r="AH63" s="85">
        <f t="shared" si="75"/>
        <v>1</v>
      </c>
      <c r="AI63" s="86">
        <f t="shared" si="76"/>
        <v>0.99494304448419435</v>
      </c>
      <c r="AJ63" s="95"/>
      <c r="AK63" s="96">
        <f t="shared" si="66"/>
        <v>0</v>
      </c>
      <c r="AL63" s="94">
        <f t="shared" si="67"/>
        <v>3</v>
      </c>
      <c r="AM63" s="94">
        <f t="shared" si="68"/>
        <v>6</v>
      </c>
      <c r="AN63" s="94">
        <f t="shared" si="69"/>
        <v>0</v>
      </c>
      <c r="AO63" s="97">
        <f t="shared" si="70"/>
        <v>9</v>
      </c>
      <c r="AP63" s="87"/>
      <c r="AQ63" s="116"/>
      <c r="AR63" s="117"/>
    </row>
    <row r="64" spans="1:44" s="90" customFormat="1" x14ac:dyDescent="0.25">
      <c r="A64" s="123">
        <f t="shared" si="77"/>
        <v>33</v>
      </c>
      <c r="B64" s="79">
        <f t="shared" si="73"/>
        <v>3.1799999999999962</v>
      </c>
      <c r="C64" s="184" t="s">
        <v>50</v>
      </c>
      <c r="D64" s="111" t="s">
        <v>328</v>
      </c>
      <c r="E64" s="90" t="s">
        <v>154</v>
      </c>
      <c r="F64" s="189" t="s">
        <v>36</v>
      </c>
      <c r="G64" s="94"/>
      <c r="H64" s="94">
        <v>1</v>
      </c>
      <c r="I64" s="94">
        <v>1</v>
      </c>
      <c r="J64" s="94"/>
      <c r="K64" s="94"/>
      <c r="L64" s="94"/>
      <c r="M64" s="94"/>
      <c r="N64" s="94"/>
      <c r="O64" s="94"/>
      <c r="P64" s="94"/>
      <c r="Q64" s="94"/>
      <c r="R64" s="94"/>
      <c r="S64" s="94">
        <v>3</v>
      </c>
      <c r="T64" s="94"/>
      <c r="U64" s="94"/>
      <c r="V64" s="94"/>
      <c r="W64" s="94">
        <v>4</v>
      </c>
      <c r="X64" s="94"/>
      <c r="Y64" s="94"/>
      <c r="Z64" s="94"/>
      <c r="AA64" s="94"/>
      <c r="AB64" s="94"/>
      <c r="AC64" s="94"/>
      <c r="AD64" s="94">
        <f t="shared" si="64"/>
        <v>9</v>
      </c>
      <c r="AE64" s="83" t="s">
        <v>54</v>
      </c>
      <c r="AF64" s="66"/>
      <c r="AG64" s="84">
        <f t="shared" si="74"/>
        <v>1</v>
      </c>
      <c r="AH64" s="85"/>
      <c r="AI64" s="86"/>
      <c r="AJ64" s="95"/>
      <c r="AK64" s="96">
        <f t="shared" si="66"/>
        <v>2</v>
      </c>
      <c r="AL64" s="94">
        <f t="shared" si="67"/>
        <v>3</v>
      </c>
      <c r="AM64" s="94">
        <f t="shared" si="68"/>
        <v>4</v>
      </c>
      <c r="AN64" s="94">
        <f t="shared" si="69"/>
        <v>0</v>
      </c>
      <c r="AO64" s="97">
        <f t="shared" si="70"/>
        <v>9</v>
      </c>
      <c r="AP64" s="87"/>
      <c r="AQ64" s="28">
        <f>IF(SUM(M64:O64)=0,0,SUM(M64:O64)/SUM(L64:O64))</f>
        <v>0</v>
      </c>
      <c r="AR64" s="29">
        <f>IF(SUM(Q64:R64)=0,0,SUM(Q64:R64)/SUM(P64:U64))</f>
        <v>0</v>
      </c>
    </row>
    <row r="65" spans="1:44" s="90" customFormat="1" x14ac:dyDescent="0.25">
      <c r="A65" s="123">
        <f t="shared" si="77"/>
        <v>34</v>
      </c>
      <c r="B65" s="79">
        <f t="shared" si="73"/>
        <v>3.1899999999999959</v>
      </c>
      <c r="C65" s="188" t="s">
        <v>270</v>
      </c>
      <c r="D65" s="111" t="s">
        <v>326</v>
      </c>
      <c r="E65" s="1" t="s">
        <v>282</v>
      </c>
      <c r="F65" s="189" t="s">
        <v>36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>
        <v>2</v>
      </c>
      <c r="T65" s="94"/>
      <c r="U65" s="94">
        <v>1</v>
      </c>
      <c r="V65" s="94">
        <v>2</v>
      </c>
      <c r="W65" s="94">
        <v>2</v>
      </c>
      <c r="X65" s="94"/>
      <c r="Y65" s="94"/>
      <c r="Z65" s="94"/>
      <c r="AA65" s="94"/>
      <c r="AB65" s="94"/>
      <c r="AC65" s="94"/>
      <c r="AD65" s="94">
        <f t="shared" si="64"/>
        <v>7</v>
      </c>
      <c r="AE65" s="83" t="s">
        <v>271</v>
      </c>
      <c r="AF65" s="66"/>
      <c r="AG65" s="84">
        <f t="shared" si="74"/>
        <v>0.49472531952665999</v>
      </c>
      <c r="AH65" s="85">
        <f t="shared" si="75"/>
        <v>1</v>
      </c>
      <c r="AI65" s="86"/>
      <c r="AJ65" s="95"/>
      <c r="AK65" s="96">
        <f t="shared" si="66"/>
        <v>0</v>
      </c>
      <c r="AL65" s="94">
        <f t="shared" si="67"/>
        <v>3</v>
      </c>
      <c r="AM65" s="94">
        <f t="shared" si="68"/>
        <v>4</v>
      </c>
      <c r="AN65" s="94">
        <f t="shared" si="69"/>
        <v>0</v>
      </c>
      <c r="AO65" s="97">
        <f t="shared" si="70"/>
        <v>7</v>
      </c>
      <c r="AP65" s="87"/>
      <c r="AQ65" s="28">
        <f>IF(SUM(M65:O65)=0,0,SUM(M65:O65)/SUM(L65:O65))</f>
        <v>0</v>
      </c>
      <c r="AR65" s="29">
        <f>IF(SUM(Q65:R65)=0,0,SUM(Q65:R65)/SUM(P65:U65))</f>
        <v>0</v>
      </c>
    </row>
    <row r="66" spans="1:44" s="90" customFormat="1" x14ac:dyDescent="0.25">
      <c r="A66" s="123">
        <f t="shared" si="77"/>
        <v>35</v>
      </c>
      <c r="B66" s="79">
        <f t="shared" si="73"/>
        <v>3.1999999999999957</v>
      </c>
      <c r="C66" s="184" t="s">
        <v>304</v>
      </c>
      <c r="D66" s="111" t="s">
        <v>328</v>
      </c>
      <c r="E66" s="1" t="s">
        <v>312</v>
      </c>
      <c r="F66" s="189" t="s">
        <v>36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>
        <v>2</v>
      </c>
      <c r="T66" s="94"/>
      <c r="U66" s="94"/>
      <c r="V66" s="94"/>
      <c r="W66" s="94">
        <v>3</v>
      </c>
      <c r="X66" s="94"/>
      <c r="Y66" s="94">
        <v>1</v>
      </c>
      <c r="Z66" s="94"/>
      <c r="AA66" s="94"/>
      <c r="AB66" s="94"/>
      <c r="AC66" s="94"/>
      <c r="AD66" s="94">
        <f t="shared" si="64"/>
        <v>6</v>
      </c>
      <c r="AE66" s="83" t="s">
        <v>309</v>
      </c>
      <c r="AF66" s="66"/>
      <c r="AG66" s="84">
        <f t="shared" si="74"/>
        <v>0.79068071244660276</v>
      </c>
      <c r="AH66" s="85"/>
      <c r="AI66" s="86">
        <f t="shared" si="76"/>
        <v>1</v>
      </c>
      <c r="AJ66" s="95"/>
      <c r="AK66" s="96"/>
      <c r="AL66" s="94"/>
      <c r="AM66" s="94">
        <f t="shared" si="68"/>
        <v>4</v>
      </c>
      <c r="AN66" s="94"/>
      <c r="AO66" s="97"/>
      <c r="AP66" s="87"/>
      <c r="AQ66" s="28"/>
      <c r="AR66" s="29"/>
    </row>
    <row r="67" spans="1:44" s="90" customFormat="1" x14ac:dyDescent="0.25">
      <c r="A67" s="123">
        <f t="shared" si="77"/>
        <v>36</v>
      </c>
      <c r="B67" s="79">
        <f t="shared" si="73"/>
        <v>3.2099999999999955</v>
      </c>
      <c r="C67" s="184" t="s">
        <v>305</v>
      </c>
      <c r="D67" s="111" t="s">
        <v>328</v>
      </c>
      <c r="E67" s="1" t="s">
        <v>313</v>
      </c>
      <c r="F67" s="189" t="s">
        <v>36</v>
      </c>
      <c r="G67" s="94"/>
      <c r="H67" s="94"/>
      <c r="I67" s="94"/>
      <c r="J67" s="94"/>
      <c r="K67" s="94"/>
      <c r="L67" s="94"/>
      <c r="M67" s="94">
        <v>1</v>
      </c>
      <c r="N67" s="94"/>
      <c r="O67" s="94"/>
      <c r="P67" s="94"/>
      <c r="Q67" s="94">
        <v>1</v>
      </c>
      <c r="R67" s="94"/>
      <c r="S67" s="94">
        <v>2</v>
      </c>
      <c r="T67" s="94"/>
      <c r="U67" s="94">
        <v>2</v>
      </c>
      <c r="V67" s="94"/>
      <c r="W67" s="94"/>
      <c r="X67" s="94"/>
      <c r="Y67" s="94"/>
      <c r="Z67" s="94"/>
      <c r="AA67" s="94"/>
      <c r="AB67" s="94"/>
      <c r="AC67" s="94"/>
      <c r="AD67" s="94">
        <f t="shared" si="64"/>
        <v>6</v>
      </c>
      <c r="AE67" s="83" t="s">
        <v>310</v>
      </c>
      <c r="AF67" s="66"/>
      <c r="AG67" s="84">
        <f t="shared" si="74"/>
        <v>0.80753982863602991</v>
      </c>
      <c r="AH67" s="85">
        <f t="shared" si="75"/>
        <v>0.80753982863602991</v>
      </c>
      <c r="AI67" s="86"/>
      <c r="AJ67" s="95"/>
      <c r="AK67" s="96">
        <f>SUM(G67:K67)</f>
        <v>0</v>
      </c>
      <c r="AL67" s="94">
        <f>SUM(L67:U67)</f>
        <v>6</v>
      </c>
      <c r="AM67" s="94">
        <f t="shared" si="68"/>
        <v>0</v>
      </c>
      <c r="AN67" s="94">
        <f>SUM(Z67:AC67)</f>
        <v>0</v>
      </c>
      <c r="AO67" s="97">
        <f>SUM(AK67:AN67)</f>
        <v>6</v>
      </c>
      <c r="AP67" s="87"/>
      <c r="AQ67" s="28">
        <f>IF(SUM(M67:O67)=0,0,SUM(M67:O67)/SUM(L67:O67))</f>
        <v>1</v>
      </c>
      <c r="AR67" s="29">
        <f>IF(SUM(Q67:R67)=0,0,SUM(Q67:R67)/SUM(P67:U67))</f>
        <v>0.2</v>
      </c>
    </row>
    <row r="68" spans="1:44" s="90" customFormat="1" x14ac:dyDescent="0.25">
      <c r="A68" s="123">
        <f t="shared" si="77"/>
        <v>37</v>
      </c>
      <c r="B68" s="79">
        <f t="shared" si="73"/>
        <v>3.2199999999999953</v>
      </c>
      <c r="C68" s="184" t="s">
        <v>306</v>
      </c>
      <c r="D68" s="111" t="s">
        <v>326</v>
      </c>
      <c r="E68" s="1" t="s">
        <v>316</v>
      </c>
      <c r="F68" s="189" t="s">
        <v>36</v>
      </c>
      <c r="G68" s="94"/>
      <c r="H68" s="94"/>
      <c r="I68" s="94"/>
      <c r="J68" s="94"/>
      <c r="K68" s="94"/>
      <c r="L68" s="94"/>
      <c r="M68" s="94">
        <v>1</v>
      </c>
      <c r="N68" s="94"/>
      <c r="O68" s="94"/>
      <c r="P68" s="94"/>
      <c r="Q68" s="94"/>
      <c r="R68" s="94"/>
      <c r="S68" s="94">
        <v>1</v>
      </c>
      <c r="T68" s="94"/>
      <c r="U68" s="94"/>
      <c r="V68" s="94"/>
      <c r="W68" s="94">
        <v>1</v>
      </c>
      <c r="X68" s="94"/>
      <c r="Y68" s="94">
        <v>1</v>
      </c>
      <c r="Z68" s="94">
        <v>1</v>
      </c>
      <c r="AA68" s="94"/>
      <c r="AB68" s="94"/>
      <c r="AC68" s="94"/>
      <c r="AD68" s="94">
        <f t="shared" si="64"/>
        <v>5</v>
      </c>
      <c r="AE68" s="83" t="s">
        <v>309</v>
      </c>
      <c r="AF68" s="66"/>
      <c r="AG68" s="84"/>
      <c r="AH68" s="85"/>
      <c r="AI68" s="86"/>
      <c r="AJ68" s="95"/>
      <c r="AK68" s="96">
        <f>SUM(G68:K68)</f>
        <v>0</v>
      </c>
      <c r="AL68" s="94">
        <f>SUM(L68:U68)</f>
        <v>2</v>
      </c>
      <c r="AM68" s="94">
        <f t="shared" si="68"/>
        <v>2</v>
      </c>
      <c r="AN68" s="94">
        <f>SUM(Z68:AC68)</f>
        <v>1</v>
      </c>
      <c r="AO68" s="97">
        <f>SUM(AK68:AN68)</f>
        <v>5</v>
      </c>
      <c r="AP68" s="87"/>
      <c r="AQ68" s="28">
        <f>IF(SUM(M68:O68)=0,0,SUM(M68:O68)/SUM(L68:O68))</f>
        <v>1</v>
      </c>
      <c r="AR68" s="29">
        <f>IF(SUM(Q68:R68)=0,0,SUM(Q68:R68)/SUM(P68:U68))</f>
        <v>0</v>
      </c>
    </row>
    <row r="69" spans="1:44" s="90" customFormat="1" x14ac:dyDescent="0.25">
      <c r="A69" s="123">
        <f t="shared" si="77"/>
        <v>38</v>
      </c>
      <c r="B69" s="79">
        <f t="shared" si="73"/>
        <v>3.2299999999999951</v>
      </c>
      <c r="C69" s="184" t="s">
        <v>307</v>
      </c>
      <c r="D69" s="111" t="s">
        <v>328</v>
      </c>
      <c r="E69" s="1" t="s">
        <v>314</v>
      </c>
      <c r="F69" s="189" t="s">
        <v>36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>
        <v>2</v>
      </c>
      <c r="V69" s="94">
        <v>1</v>
      </c>
      <c r="W69" s="94">
        <v>2</v>
      </c>
      <c r="X69" s="94"/>
      <c r="Y69" s="94"/>
      <c r="Z69" s="94"/>
      <c r="AA69" s="94"/>
      <c r="AB69" s="94"/>
      <c r="AC69" s="94"/>
      <c r="AD69" s="94">
        <f t="shared" si="64"/>
        <v>5</v>
      </c>
      <c r="AE69" s="83" t="s">
        <v>311</v>
      </c>
      <c r="AF69" s="66"/>
      <c r="AG69" s="84">
        <f t="shared" si="74"/>
        <v>0.43118371134808747</v>
      </c>
      <c r="AH69" s="85"/>
      <c r="AI69" s="86">
        <f t="shared" si="76"/>
        <v>1</v>
      </c>
      <c r="AJ69" s="95"/>
      <c r="AK69" s="96">
        <f>SUM(G69:K69)</f>
        <v>0</v>
      </c>
      <c r="AL69" s="94">
        <f>SUM(L69:U69)</f>
        <v>2</v>
      </c>
      <c r="AM69" s="94">
        <f t="shared" si="68"/>
        <v>3</v>
      </c>
      <c r="AN69" s="94">
        <f>SUM(Z69:AC69)</f>
        <v>0</v>
      </c>
      <c r="AO69" s="97">
        <f>SUM(AK69:AN69)</f>
        <v>5</v>
      </c>
      <c r="AP69" s="87"/>
      <c r="AQ69" s="28">
        <f>IF(SUM(M69:O69)=0,0,SUM(M69:O69)/SUM(L69:O69))</f>
        <v>0</v>
      </c>
      <c r="AR69" s="29">
        <f>IF(SUM(Q69:R69)=0,0,SUM(Q69:R69)/SUM(P69:U69))</f>
        <v>0</v>
      </c>
    </row>
    <row r="70" spans="1:44" s="90" customFormat="1" ht="15.75" thickBot="1" x14ac:dyDescent="0.3">
      <c r="A70" s="123">
        <f t="shared" si="77"/>
        <v>39</v>
      </c>
      <c r="B70" s="79">
        <f t="shared" si="73"/>
        <v>3.2399999999999949</v>
      </c>
      <c r="C70" s="184" t="s">
        <v>308</v>
      </c>
      <c r="D70" s="111" t="s">
        <v>328</v>
      </c>
      <c r="E70" s="1" t="s">
        <v>315</v>
      </c>
      <c r="F70" s="189" t="s">
        <v>36</v>
      </c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>
        <v>2</v>
      </c>
      <c r="T70" s="94"/>
      <c r="U70" s="94"/>
      <c r="V70" s="94"/>
      <c r="W70" s="94"/>
      <c r="X70" s="94"/>
      <c r="Y70" s="94">
        <v>3</v>
      </c>
      <c r="Z70" s="94"/>
      <c r="AA70" s="94"/>
      <c r="AB70" s="94"/>
      <c r="AC70" s="94"/>
      <c r="AD70" s="94">
        <f t="shared" si="64"/>
        <v>5</v>
      </c>
      <c r="AE70" s="83" t="s">
        <v>310</v>
      </c>
      <c r="AF70" s="66"/>
      <c r="AG70" s="84">
        <f t="shared" si="74"/>
        <v>1</v>
      </c>
      <c r="AH70" s="85"/>
      <c r="AI70" s="86"/>
      <c r="AJ70" s="95"/>
      <c r="AK70" s="96">
        <f>SUM(G70:K70)</f>
        <v>0</v>
      </c>
      <c r="AL70" s="94">
        <f>SUM(L70:U70)</f>
        <v>2</v>
      </c>
      <c r="AM70" s="94">
        <f t="shared" si="68"/>
        <v>3</v>
      </c>
      <c r="AN70" s="94">
        <f>SUM(Z70:AC70)</f>
        <v>0</v>
      </c>
      <c r="AO70" s="97">
        <f>SUM(AK70:AN70)</f>
        <v>5</v>
      </c>
      <c r="AP70" s="87"/>
      <c r="AQ70" s="28">
        <f>IF(SUM(M70:O70)=0,0,SUM(M70:O70)/SUM(L70:O70))</f>
        <v>0</v>
      </c>
      <c r="AR70" s="29">
        <f>IF(SUM(Q70:R70)=0,0,SUM(Q70:R70)/SUM(P70:U70))</f>
        <v>0</v>
      </c>
    </row>
    <row r="71" spans="1:44" s="90" customFormat="1" ht="16.5" thickTop="1" thickBot="1" x14ac:dyDescent="0.25">
      <c r="A71" s="123"/>
      <c r="B71" s="79"/>
      <c r="C71" s="125" t="s">
        <v>230</v>
      </c>
      <c r="D71" s="111"/>
      <c r="E71" s="111"/>
      <c r="F71" s="189"/>
      <c r="G71" s="191">
        <f t="shared" ref="G71:AD71" si="78">SUM(G47:G70)</f>
        <v>0</v>
      </c>
      <c r="H71" s="191">
        <f t="shared" si="78"/>
        <v>3</v>
      </c>
      <c r="I71" s="191">
        <f t="shared" si="78"/>
        <v>1</v>
      </c>
      <c r="J71" s="191">
        <f t="shared" si="78"/>
        <v>2</v>
      </c>
      <c r="K71" s="191">
        <f t="shared" si="78"/>
        <v>0</v>
      </c>
      <c r="L71" s="191">
        <f t="shared" si="78"/>
        <v>7</v>
      </c>
      <c r="M71" s="191">
        <f t="shared" si="78"/>
        <v>21</v>
      </c>
      <c r="N71" s="191">
        <f t="shared" si="78"/>
        <v>38</v>
      </c>
      <c r="O71" s="191">
        <f t="shared" si="78"/>
        <v>2</v>
      </c>
      <c r="P71" s="191">
        <f t="shared" si="78"/>
        <v>42</v>
      </c>
      <c r="Q71" s="191">
        <f t="shared" si="78"/>
        <v>54</v>
      </c>
      <c r="R71" s="191">
        <f t="shared" si="78"/>
        <v>51</v>
      </c>
      <c r="S71" s="191">
        <f t="shared" si="78"/>
        <v>104</v>
      </c>
      <c r="T71" s="191">
        <f t="shared" si="78"/>
        <v>35</v>
      </c>
      <c r="U71" s="191">
        <f t="shared" si="78"/>
        <v>39</v>
      </c>
      <c r="V71" s="191">
        <f t="shared" si="78"/>
        <v>46</v>
      </c>
      <c r="W71" s="191">
        <f t="shared" si="78"/>
        <v>250</v>
      </c>
      <c r="X71" s="191">
        <f t="shared" si="78"/>
        <v>19</v>
      </c>
      <c r="Y71" s="191">
        <f t="shared" si="78"/>
        <v>75</v>
      </c>
      <c r="Z71" s="191">
        <f t="shared" si="78"/>
        <v>1</v>
      </c>
      <c r="AA71" s="191">
        <f t="shared" si="78"/>
        <v>3</v>
      </c>
      <c r="AB71" s="191">
        <f t="shared" si="78"/>
        <v>0</v>
      </c>
      <c r="AC71" s="191">
        <f t="shared" si="78"/>
        <v>4</v>
      </c>
      <c r="AD71" s="191">
        <f t="shared" si="78"/>
        <v>797</v>
      </c>
      <c r="AE71" s="83"/>
      <c r="AF71" s="66"/>
      <c r="AG71" s="192">
        <f>CORREL(L71:Y71,L$10:Y$10)</f>
        <v>0.94206840686609472</v>
      </c>
      <c r="AH71" s="193">
        <f t="shared" si="15"/>
        <v>0.78669395877380233</v>
      </c>
      <c r="AI71" s="194">
        <f>CORREL(V71:Y71,V$10:Y$10)</f>
        <v>0.98358191801950978</v>
      </c>
      <c r="AJ71" s="130"/>
      <c r="AK71" s="131">
        <f t="shared" ref="AK71" si="79">SUM(G71:K71)</f>
        <v>6</v>
      </c>
      <c r="AL71" s="126">
        <f t="shared" ref="AL71" si="80">SUM(L71:U71)</f>
        <v>393</v>
      </c>
      <c r="AM71" s="126">
        <f t="shared" ref="AM71" si="81">SUM(V71:Y71)</f>
        <v>390</v>
      </c>
      <c r="AN71" s="126">
        <f t="shared" ref="AN71" si="82">SUM(Z71:AC71)</f>
        <v>8</v>
      </c>
      <c r="AO71" s="132">
        <f t="shared" ref="AO71" si="83">SUM(AK71:AN71)</f>
        <v>797</v>
      </c>
      <c r="AP71" s="87"/>
      <c r="AQ71" s="133">
        <f>IF(SUM(M71:O71)=0,0,SUM(M71:O71)/SUM(L71:O71))</f>
        <v>0.8970588235294118</v>
      </c>
      <c r="AR71" s="134">
        <f>IF(SUM(Q71:R71)=0,0,SUM(Q71:R71)/SUM(P71:U71))</f>
        <v>0.32307692307692309</v>
      </c>
    </row>
    <row r="72" spans="1:44" s="90" customFormat="1" ht="15.75" thickTop="1" x14ac:dyDescent="0.25">
      <c r="A72" s="123"/>
      <c r="B72" s="79"/>
      <c r="C72" s="125"/>
      <c r="D72" s="111"/>
      <c r="E72" s="111"/>
      <c r="F72" s="189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83"/>
      <c r="AF72" s="66"/>
      <c r="AG72" s="84"/>
      <c r="AH72" s="85"/>
      <c r="AI72" s="86"/>
      <c r="AJ72" s="95"/>
      <c r="AK72" s="96"/>
      <c r="AL72" s="94"/>
      <c r="AM72" s="94"/>
      <c r="AN72" s="94"/>
      <c r="AO72" s="89"/>
      <c r="AP72" s="87"/>
      <c r="AQ72" s="116"/>
      <c r="AR72" s="117"/>
    </row>
    <row r="73" spans="1:44" s="90" customFormat="1" x14ac:dyDescent="0.25">
      <c r="A73" s="123"/>
      <c r="B73" s="79"/>
      <c r="C73" s="122" t="s">
        <v>265</v>
      </c>
      <c r="D73" s="111"/>
      <c r="E73" s="111"/>
      <c r="F73" s="189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83"/>
      <c r="AF73" s="66"/>
      <c r="AG73" s="84"/>
      <c r="AH73" s="85"/>
      <c r="AI73" s="86"/>
      <c r="AJ73" s="95"/>
      <c r="AK73" s="96"/>
      <c r="AL73" s="94"/>
      <c r="AM73" s="94"/>
      <c r="AN73" s="94"/>
      <c r="AO73" s="89"/>
      <c r="AP73" s="87"/>
      <c r="AQ73" s="116"/>
      <c r="AR73" s="117"/>
    </row>
    <row r="74" spans="1:44" s="90" customFormat="1" x14ac:dyDescent="0.25">
      <c r="A74" s="123">
        <f>+A70+1</f>
        <v>40</v>
      </c>
      <c r="B74" s="79">
        <f>+B70+0.01</f>
        <v>3.2499999999999947</v>
      </c>
      <c r="C74" s="187" t="s">
        <v>217</v>
      </c>
      <c r="D74" s="111" t="s">
        <v>62</v>
      </c>
      <c r="E74" s="90" t="s">
        <v>218</v>
      </c>
      <c r="F74" s="93" t="s">
        <v>243</v>
      </c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>
        <v>2</v>
      </c>
      <c r="W74" s="82">
        <v>6</v>
      </c>
      <c r="X74" s="82">
        <v>1</v>
      </c>
      <c r="Y74" s="82">
        <v>2</v>
      </c>
      <c r="Z74" s="82"/>
      <c r="AA74" s="82"/>
      <c r="AB74" s="82"/>
      <c r="AC74" s="82"/>
      <c r="AD74" s="82">
        <f t="shared" ref="AD74" si="84">SUM(G74:AC74)</f>
        <v>11</v>
      </c>
      <c r="AE74" s="83" t="s">
        <v>189</v>
      </c>
      <c r="AF74" s="66"/>
      <c r="AG74" s="195">
        <f>CORREL(L74:Y74,L$10:Y$10)</f>
        <v>0.96430895277810458</v>
      </c>
      <c r="AH74" s="196"/>
      <c r="AI74" s="197">
        <f>CORREL(V74:Y74,V$10:Y$10)</f>
        <v>0.96430895277810458</v>
      </c>
      <c r="AJ74" s="95"/>
      <c r="AK74" s="96">
        <f>SUM(G74:K74)</f>
        <v>0</v>
      </c>
      <c r="AL74" s="94">
        <f>SUM(L74:U74)</f>
        <v>0</v>
      </c>
      <c r="AM74" s="94">
        <f>SUM(V74:Y74)</f>
        <v>11</v>
      </c>
      <c r="AN74" s="94">
        <f>SUM(Z74:AC74)</f>
        <v>0</v>
      </c>
      <c r="AO74" s="97">
        <f t="shared" ref="AO74:AO75" si="85">SUM(AK74:AN74)</f>
        <v>11</v>
      </c>
      <c r="AP74" s="87"/>
      <c r="AQ74" s="28">
        <f>IF(SUM(M74:O74)=0,0,SUM(M74:O74)/SUM(L74:O74))</f>
        <v>0</v>
      </c>
      <c r="AR74" s="29">
        <f>IF(SUM(Q74:R74)=0,0,SUM(Q74:R74)/SUM(P74:U74))</f>
        <v>0</v>
      </c>
    </row>
    <row r="75" spans="1:44" s="90" customFormat="1" ht="15.75" thickBot="1" x14ac:dyDescent="0.25">
      <c r="A75" s="123"/>
      <c r="B75" s="79"/>
      <c r="C75" s="198" t="s">
        <v>244</v>
      </c>
      <c r="D75" s="111"/>
      <c r="F75" s="93"/>
      <c r="G75" s="199">
        <f>+G71+G74</f>
        <v>0</v>
      </c>
      <c r="H75" s="199">
        <f t="shared" ref="H75:AD75" si="86">+H71+H74</f>
        <v>3</v>
      </c>
      <c r="I75" s="199">
        <f t="shared" si="86"/>
        <v>1</v>
      </c>
      <c r="J75" s="199">
        <f t="shared" si="86"/>
        <v>2</v>
      </c>
      <c r="K75" s="199">
        <f t="shared" si="86"/>
        <v>0</v>
      </c>
      <c r="L75" s="199">
        <f t="shared" si="86"/>
        <v>7</v>
      </c>
      <c r="M75" s="199">
        <f t="shared" si="86"/>
        <v>21</v>
      </c>
      <c r="N75" s="199">
        <f t="shared" si="86"/>
        <v>38</v>
      </c>
      <c r="O75" s="199">
        <f t="shared" si="86"/>
        <v>2</v>
      </c>
      <c r="P75" s="199">
        <f t="shared" si="86"/>
        <v>42</v>
      </c>
      <c r="Q75" s="199">
        <f t="shared" si="86"/>
        <v>54</v>
      </c>
      <c r="R75" s="199">
        <f t="shared" si="86"/>
        <v>51</v>
      </c>
      <c r="S75" s="199">
        <f t="shared" si="86"/>
        <v>104</v>
      </c>
      <c r="T75" s="199">
        <f t="shared" si="86"/>
        <v>35</v>
      </c>
      <c r="U75" s="199">
        <f t="shared" si="86"/>
        <v>39</v>
      </c>
      <c r="V75" s="199">
        <f t="shared" si="86"/>
        <v>48</v>
      </c>
      <c r="W75" s="199">
        <f t="shared" si="86"/>
        <v>256</v>
      </c>
      <c r="X75" s="199">
        <f t="shared" si="86"/>
        <v>20</v>
      </c>
      <c r="Y75" s="199">
        <f t="shared" si="86"/>
        <v>77</v>
      </c>
      <c r="Z75" s="199">
        <f t="shared" si="86"/>
        <v>1</v>
      </c>
      <c r="AA75" s="199">
        <f t="shared" si="86"/>
        <v>3</v>
      </c>
      <c r="AB75" s="199">
        <f t="shared" si="86"/>
        <v>0</v>
      </c>
      <c r="AC75" s="199">
        <f t="shared" si="86"/>
        <v>4</v>
      </c>
      <c r="AD75" s="199">
        <f t="shared" si="86"/>
        <v>808</v>
      </c>
      <c r="AE75" s="83"/>
      <c r="AF75" s="66"/>
      <c r="AG75" s="200">
        <f>CORREL(L75:Y75,L$10:Y$10)</f>
        <v>0.94493580332564575</v>
      </c>
      <c r="AH75" s="201">
        <f t="shared" si="15"/>
        <v>0.78669395877380233</v>
      </c>
      <c r="AI75" s="150">
        <f>CORREL(V75:Y75,V$10:Y$10)</f>
        <v>0.98331606572389763</v>
      </c>
      <c r="AJ75" s="130"/>
      <c r="AK75" s="131">
        <f>SUM(G75:K75)</f>
        <v>6</v>
      </c>
      <c r="AL75" s="126">
        <f>SUM(L75:U75)</f>
        <v>393</v>
      </c>
      <c r="AM75" s="126">
        <f>SUM(V75:Y75)</f>
        <v>401</v>
      </c>
      <c r="AN75" s="126">
        <f>SUM(Z75:AC75)</f>
        <v>8</v>
      </c>
      <c r="AO75" s="132">
        <f t="shared" si="85"/>
        <v>808</v>
      </c>
      <c r="AP75" s="87"/>
      <c r="AQ75" s="133">
        <f>IF(SUM(M75:O75)=0,0,SUM(M75:O75)/SUM(L75:O75))</f>
        <v>0.8970588235294118</v>
      </c>
      <c r="AR75" s="134">
        <f>IF(SUM(Q75:R75)=0,0,SUM(Q75:R75)/SUM(P75:U75))</f>
        <v>0.32307692307692309</v>
      </c>
    </row>
    <row r="76" spans="1:44" s="90" customFormat="1" ht="15.75" thickBot="1" x14ac:dyDescent="0.3">
      <c r="A76" s="123"/>
      <c r="B76" s="79"/>
      <c r="C76" s="187"/>
      <c r="D76" s="111"/>
      <c r="F76" s="93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3"/>
      <c r="AF76" s="66"/>
      <c r="AG76" s="84"/>
      <c r="AH76" s="85"/>
      <c r="AI76" s="86"/>
      <c r="AJ76" s="95"/>
      <c r="AK76" s="96"/>
      <c r="AL76" s="94"/>
      <c r="AM76" s="94"/>
      <c r="AN76" s="94"/>
      <c r="AO76" s="97"/>
      <c r="AP76" s="87"/>
      <c r="AQ76" s="28"/>
      <c r="AR76" s="29"/>
    </row>
    <row r="77" spans="1:44" s="160" customFormat="1" ht="16.5" thickTop="1" thickBot="1" x14ac:dyDescent="0.25">
      <c r="A77" s="157"/>
      <c r="B77" s="157"/>
      <c r="C77" s="158" t="s">
        <v>335</v>
      </c>
      <c r="D77" s="159"/>
      <c r="F77" s="161"/>
      <c r="G77" s="162"/>
      <c r="H77" s="162"/>
      <c r="I77" s="162"/>
      <c r="J77" s="162"/>
      <c r="K77" s="162"/>
      <c r="L77" s="162">
        <v>8</v>
      </c>
      <c r="M77" s="162"/>
      <c r="N77" s="162"/>
      <c r="O77" s="162"/>
      <c r="P77" s="162"/>
      <c r="Q77" s="162"/>
      <c r="R77" s="162"/>
      <c r="S77" s="162">
        <v>116</v>
      </c>
      <c r="T77" s="162">
        <v>37</v>
      </c>
      <c r="U77" s="162">
        <v>41</v>
      </c>
      <c r="V77" s="162">
        <v>66</v>
      </c>
      <c r="W77" s="162">
        <v>276</v>
      </c>
      <c r="X77" s="162">
        <v>21</v>
      </c>
      <c r="Y77" s="162">
        <v>80</v>
      </c>
      <c r="Z77" s="162"/>
      <c r="AA77" s="162"/>
      <c r="AB77" s="162"/>
      <c r="AC77" s="162"/>
      <c r="AD77" s="162">
        <f>SUM(G77:AC77)</f>
        <v>645</v>
      </c>
      <c r="AE77" s="163"/>
      <c r="AF77" s="164"/>
      <c r="AG77" s="165">
        <f>CORREL(L77:Y77,L$10:Y$10)</f>
        <v>0.97038124999549702</v>
      </c>
      <c r="AH77" s="166">
        <f t="shared" ref="AH77" si="87">CORREL(L77:U77,L$10:U$10)</f>
        <v>0.94325767567544716</v>
      </c>
      <c r="AI77" s="167">
        <f>CORREL(V77:Y77,V$10:Y$10)</f>
        <v>0.97600963387424056</v>
      </c>
      <c r="AJ77" s="168"/>
      <c r="AK77" s="202">
        <f>SUM(G77:K77)</f>
        <v>0</v>
      </c>
      <c r="AL77" s="203">
        <f>SUM(L77:U77)</f>
        <v>202</v>
      </c>
      <c r="AM77" s="203">
        <f>SUM(V77:Y77)</f>
        <v>443</v>
      </c>
      <c r="AN77" s="203">
        <f>SUM(Z77:AC77)</f>
        <v>0</v>
      </c>
      <c r="AO77" s="204">
        <f t="shared" ref="AO77" si="88">SUM(AK77:AN77)</f>
        <v>645</v>
      </c>
      <c r="AP77" s="172"/>
      <c r="AQ77" s="205">
        <f>IF(SUM(M77:O77)=0,0,SUM(M77:O77)/SUM(L77:O77))</f>
        <v>0</v>
      </c>
      <c r="AR77" s="206">
        <f>IF(SUM(Q77:R77)=0,0,SUM(Q77:R77)/SUM(P77:U77))</f>
        <v>0</v>
      </c>
    </row>
    <row r="78" spans="1:44" s="90" customFormat="1" x14ac:dyDescent="0.25">
      <c r="A78" s="123"/>
      <c r="B78" s="79"/>
      <c r="C78" s="187"/>
      <c r="D78" s="111"/>
      <c r="F78" s="93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3"/>
      <c r="AF78" s="66"/>
      <c r="AG78" s="84"/>
      <c r="AH78" s="85"/>
      <c r="AI78" s="86"/>
      <c r="AJ78" s="95"/>
      <c r="AK78" s="96"/>
      <c r="AL78" s="94"/>
      <c r="AM78" s="94"/>
      <c r="AN78" s="94"/>
      <c r="AO78" s="97"/>
      <c r="AP78" s="87"/>
      <c r="AQ78" s="28"/>
      <c r="AR78" s="29"/>
    </row>
    <row r="79" spans="1:44" s="90" customFormat="1" x14ac:dyDescent="0.25">
      <c r="A79" s="123"/>
      <c r="B79" s="79"/>
      <c r="C79" s="207" t="s">
        <v>329</v>
      </c>
      <c r="D79" s="111"/>
      <c r="F79" s="93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3"/>
      <c r="AF79" s="66"/>
      <c r="AG79" s="84"/>
      <c r="AH79" s="85"/>
      <c r="AI79" s="86"/>
      <c r="AJ79" s="95"/>
      <c r="AK79" s="96"/>
      <c r="AL79" s="94"/>
      <c r="AM79" s="94"/>
      <c r="AN79" s="94"/>
      <c r="AO79" s="97"/>
      <c r="AP79" s="87"/>
      <c r="AQ79" s="28"/>
      <c r="AR79" s="29"/>
    </row>
    <row r="80" spans="1:44" s="90" customFormat="1" x14ac:dyDescent="0.25">
      <c r="A80" s="123"/>
      <c r="B80" s="79"/>
      <c r="C80" s="187" t="s">
        <v>323</v>
      </c>
      <c r="D80" s="111" t="s">
        <v>326</v>
      </c>
      <c r="F80" s="93"/>
      <c r="G80" s="82">
        <f>+G47+G54+G56+G57+G58+G59+G61+G62+G63+G65+G68</f>
        <v>0</v>
      </c>
      <c r="H80" s="82">
        <f t="shared" ref="H80:AD80" si="89">+H47+H54+H56+H57+H58+H59+H61+H62+H63+H65+H68</f>
        <v>1</v>
      </c>
      <c r="I80" s="82">
        <f t="shared" si="89"/>
        <v>0</v>
      </c>
      <c r="J80" s="82">
        <f t="shared" si="89"/>
        <v>1</v>
      </c>
      <c r="K80" s="82">
        <f t="shared" si="89"/>
        <v>0</v>
      </c>
      <c r="L80" s="82">
        <f t="shared" si="89"/>
        <v>4</v>
      </c>
      <c r="M80" s="82">
        <f t="shared" si="89"/>
        <v>8</v>
      </c>
      <c r="N80" s="82">
        <f t="shared" si="89"/>
        <v>10</v>
      </c>
      <c r="O80" s="82">
        <f t="shared" si="89"/>
        <v>0</v>
      </c>
      <c r="P80" s="82">
        <f t="shared" si="89"/>
        <v>5</v>
      </c>
      <c r="Q80" s="82">
        <f t="shared" si="89"/>
        <v>2</v>
      </c>
      <c r="R80" s="82">
        <f t="shared" si="89"/>
        <v>11</v>
      </c>
      <c r="S80" s="82">
        <f t="shared" si="89"/>
        <v>59</v>
      </c>
      <c r="T80" s="82">
        <f t="shared" si="89"/>
        <v>24</v>
      </c>
      <c r="U80" s="82">
        <f t="shared" si="89"/>
        <v>18</v>
      </c>
      <c r="V80" s="82">
        <f t="shared" si="89"/>
        <v>21</v>
      </c>
      <c r="W80" s="82">
        <f t="shared" si="89"/>
        <v>91</v>
      </c>
      <c r="X80" s="82">
        <f t="shared" si="89"/>
        <v>13</v>
      </c>
      <c r="Y80" s="82">
        <f t="shared" si="89"/>
        <v>37</v>
      </c>
      <c r="Z80" s="82">
        <f t="shared" si="89"/>
        <v>1</v>
      </c>
      <c r="AA80" s="82">
        <f t="shared" si="89"/>
        <v>1</v>
      </c>
      <c r="AB80" s="82">
        <f t="shared" si="89"/>
        <v>0</v>
      </c>
      <c r="AC80" s="82">
        <f t="shared" si="89"/>
        <v>2</v>
      </c>
      <c r="AD80" s="82">
        <f t="shared" si="89"/>
        <v>309</v>
      </c>
      <c r="AE80" s="83"/>
      <c r="AF80" s="66"/>
      <c r="AG80" s="84">
        <f t="shared" ref="AG80:AG83" si="90">CORREL(L80:Y80,L$10:Y$10)</f>
        <v>0.94334369044310429</v>
      </c>
      <c r="AH80" s="85">
        <f t="shared" ref="AH80:AH83" si="91">CORREL(L80:U80,L$10:U$10)</f>
        <v>0.92118354725110019</v>
      </c>
      <c r="AI80" s="86">
        <f t="shared" ref="AI80:AI83" si="92">CORREL(V80:Y80,V$10:Y$10)</f>
        <v>0.99400380236666486</v>
      </c>
      <c r="AJ80" s="95"/>
      <c r="AK80" s="96">
        <f t="shared" ref="AK80:AK83" si="93">SUM(G80:K80)</f>
        <v>2</v>
      </c>
      <c r="AL80" s="94">
        <f t="shared" ref="AL80:AL83" si="94">SUM(L80:U80)</f>
        <v>141</v>
      </c>
      <c r="AM80" s="94">
        <f t="shared" ref="AM80:AM83" si="95">SUM(V80:Y80)</f>
        <v>162</v>
      </c>
      <c r="AN80" s="94">
        <f t="shared" ref="AN80:AN83" si="96">SUM(Z80:AC80)</f>
        <v>4</v>
      </c>
      <c r="AO80" s="97">
        <f t="shared" ref="AO80:AO83" si="97">SUM(AK80:AN80)</f>
        <v>309</v>
      </c>
      <c r="AP80" s="87"/>
      <c r="AQ80" s="28">
        <f t="shared" ref="AQ80:AQ83" si="98">IF(SUM(M80:O80)=0,0,SUM(M80:O80)/SUM(L80:O80))</f>
        <v>0.81818181818181823</v>
      </c>
      <c r="AR80" s="29">
        <f t="shared" ref="AR80:AR83" si="99">IF(SUM(Q80:R80)=0,0,SUM(Q80:R80)/SUM(P80:U80))</f>
        <v>0.1092436974789916</v>
      </c>
    </row>
    <row r="81" spans="1:44" s="90" customFormat="1" x14ac:dyDescent="0.25">
      <c r="A81" s="123"/>
      <c r="B81" s="79"/>
      <c r="C81" s="187" t="s">
        <v>324</v>
      </c>
      <c r="D81" s="111" t="s">
        <v>328</v>
      </c>
      <c r="F81" s="93"/>
      <c r="G81" s="82">
        <f>+G48+G49+G51+G55+G60+G64+G66+G67+G69+G70</f>
        <v>0</v>
      </c>
      <c r="H81" s="82">
        <f t="shared" ref="H81:AD81" si="100">+H48+H49+H51+H55+H60+H64+H66+H67+H69+H70</f>
        <v>2</v>
      </c>
      <c r="I81" s="82">
        <f t="shared" si="100"/>
        <v>1</v>
      </c>
      <c r="J81" s="82">
        <f t="shared" si="100"/>
        <v>1</v>
      </c>
      <c r="K81" s="82">
        <f t="shared" si="100"/>
        <v>0</v>
      </c>
      <c r="L81" s="82">
        <f t="shared" si="100"/>
        <v>2</v>
      </c>
      <c r="M81" s="82">
        <f t="shared" si="100"/>
        <v>13</v>
      </c>
      <c r="N81" s="82">
        <f t="shared" si="100"/>
        <v>23</v>
      </c>
      <c r="O81" s="82">
        <f t="shared" si="100"/>
        <v>2</v>
      </c>
      <c r="P81" s="82">
        <f t="shared" si="100"/>
        <v>35</v>
      </c>
      <c r="Q81" s="82">
        <f t="shared" si="100"/>
        <v>42</v>
      </c>
      <c r="R81" s="82">
        <f t="shared" si="100"/>
        <v>33</v>
      </c>
      <c r="S81" s="82">
        <f t="shared" si="100"/>
        <v>25</v>
      </c>
      <c r="T81" s="82">
        <f t="shared" si="100"/>
        <v>3</v>
      </c>
      <c r="U81" s="82">
        <f t="shared" si="100"/>
        <v>13</v>
      </c>
      <c r="V81" s="82">
        <f t="shared" si="100"/>
        <v>15</v>
      </c>
      <c r="W81" s="82">
        <f t="shared" si="100"/>
        <v>101</v>
      </c>
      <c r="X81" s="82">
        <f t="shared" si="100"/>
        <v>4</v>
      </c>
      <c r="Y81" s="82">
        <f t="shared" si="100"/>
        <v>26</v>
      </c>
      <c r="Z81" s="82">
        <f t="shared" si="100"/>
        <v>0</v>
      </c>
      <c r="AA81" s="82">
        <f t="shared" si="100"/>
        <v>0</v>
      </c>
      <c r="AB81" s="82">
        <f t="shared" si="100"/>
        <v>0</v>
      </c>
      <c r="AC81" s="82">
        <f t="shared" si="100"/>
        <v>2</v>
      </c>
      <c r="AD81" s="82">
        <f t="shared" si="100"/>
        <v>343</v>
      </c>
      <c r="AE81" s="83"/>
      <c r="AF81" s="66"/>
      <c r="AG81" s="84">
        <f t="shared" si="90"/>
        <v>0.77771661548707505</v>
      </c>
      <c r="AH81" s="85">
        <f t="shared" si="91"/>
        <v>-8.6699120396816539E-3</v>
      </c>
      <c r="AI81" s="86">
        <f t="shared" si="92"/>
        <v>0.98058549635981029</v>
      </c>
      <c r="AJ81" s="95"/>
      <c r="AK81" s="96">
        <f t="shared" si="93"/>
        <v>4</v>
      </c>
      <c r="AL81" s="94">
        <f t="shared" si="94"/>
        <v>191</v>
      </c>
      <c r="AM81" s="94">
        <f t="shared" si="95"/>
        <v>146</v>
      </c>
      <c r="AN81" s="94">
        <f t="shared" si="96"/>
        <v>2</v>
      </c>
      <c r="AO81" s="97">
        <f t="shared" si="97"/>
        <v>343</v>
      </c>
      <c r="AP81" s="87"/>
      <c r="AQ81" s="28">
        <f t="shared" si="98"/>
        <v>0.95</v>
      </c>
      <c r="AR81" s="29">
        <f t="shared" si="99"/>
        <v>0.49668874172185429</v>
      </c>
    </row>
    <row r="82" spans="1:44" s="90" customFormat="1" x14ac:dyDescent="0.25">
      <c r="A82" s="123"/>
      <c r="B82" s="79"/>
      <c r="C82" s="187" t="s">
        <v>325</v>
      </c>
      <c r="D82" s="111" t="s">
        <v>327</v>
      </c>
      <c r="F82" s="93"/>
      <c r="G82" s="82">
        <f>+G50+G52+G53</f>
        <v>0</v>
      </c>
      <c r="H82" s="82">
        <f t="shared" ref="H82:AD82" si="101">+H50+H52+H53</f>
        <v>0</v>
      </c>
      <c r="I82" s="82">
        <f t="shared" si="101"/>
        <v>0</v>
      </c>
      <c r="J82" s="82">
        <f t="shared" si="101"/>
        <v>0</v>
      </c>
      <c r="K82" s="82">
        <f t="shared" si="101"/>
        <v>0</v>
      </c>
      <c r="L82" s="82">
        <f t="shared" si="101"/>
        <v>1</v>
      </c>
      <c r="M82" s="82">
        <f t="shared" si="101"/>
        <v>0</v>
      </c>
      <c r="N82" s="82">
        <f t="shared" si="101"/>
        <v>5</v>
      </c>
      <c r="O82" s="82">
        <f t="shared" si="101"/>
        <v>0</v>
      </c>
      <c r="P82" s="82">
        <f t="shared" si="101"/>
        <v>2</v>
      </c>
      <c r="Q82" s="82">
        <f t="shared" si="101"/>
        <v>10</v>
      </c>
      <c r="R82" s="82">
        <f t="shared" si="101"/>
        <v>7</v>
      </c>
      <c r="S82" s="82">
        <f t="shared" si="101"/>
        <v>20</v>
      </c>
      <c r="T82" s="82">
        <f t="shared" si="101"/>
        <v>8</v>
      </c>
      <c r="U82" s="82">
        <f t="shared" si="101"/>
        <v>8</v>
      </c>
      <c r="V82" s="82">
        <f t="shared" si="101"/>
        <v>10</v>
      </c>
      <c r="W82" s="82">
        <f t="shared" si="101"/>
        <v>58</v>
      </c>
      <c r="X82" s="82">
        <f t="shared" si="101"/>
        <v>2</v>
      </c>
      <c r="Y82" s="82">
        <f t="shared" si="101"/>
        <v>12</v>
      </c>
      <c r="Z82" s="82">
        <f t="shared" si="101"/>
        <v>0</v>
      </c>
      <c r="AA82" s="82">
        <f t="shared" si="101"/>
        <v>2</v>
      </c>
      <c r="AB82" s="82">
        <f t="shared" si="101"/>
        <v>0</v>
      </c>
      <c r="AC82" s="82">
        <f t="shared" si="101"/>
        <v>0</v>
      </c>
      <c r="AD82" s="82">
        <f t="shared" si="101"/>
        <v>145</v>
      </c>
      <c r="AE82" s="83"/>
      <c r="AF82" s="66"/>
      <c r="AG82" s="84">
        <f t="shared" si="90"/>
        <v>0.94092030292973761</v>
      </c>
      <c r="AH82" s="85">
        <f t="shared" si="91"/>
        <v>0.82487804335160708</v>
      </c>
      <c r="AI82" s="86">
        <f t="shared" si="92"/>
        <v>0.96635424838381279</v>
      </c>
      <c r="AJ82" s="95"/>
      <c r="AK82" s="96">
        <f t="shared" si="93"/>
        <v>0</v>
      </c>
      <c r="AL82" s="94">
        <f t="shared" si="94"/>
        <v>61</v>
      </c>
      <c r="AM82" s="94">
        <f t="shared" si="95"/>
        <v>82</v>
      </c>
      <c r="AN82" s="94">
        <f t="shared" si="96"/>
        <v>2</v>
      </c>
      <c r="AO82" s="97">
        <f t="shared" si="97"/>
        <v>145</v>
      </c>
      <c r="AP82" s="87"/>
      <c r="AQ82" s="28">
        <f t="shared" si="98"/>
        <v>0.83333333333333337</v>
      </c>
      <c r="AR82" s="29">
        <f t="shared" si="99"/>
        <v>0.30909090909090908</v>
      </c>
    </row>
    <row r="83" spans="1:44" s="90" customFormat="1" ht="15.75" thickBot="1" x14ac:dyDescent="0.25">
      <c r="A83" s="123"/>
      <c r="B83" s="79"/>
      <c r="C83" s="187"/>
      <c r="D83" s="111"/>
      <c r="F83" s="93"/>
      <c r="G83" s="126">
        <f>SUM(G80:G82)</f>
        <v>0</v>
      </c>
      <c r="H83" s="126">
        <f t="shared" ref="H83:AD83" si="102">SUM(H80:H82)</f>
        <v>3</v>
      </c>
      <c r="I83" s="126">
        <f t="shared" si="102"/>
        <v>1</v>
      </c>
      <c r="J83" s="126">
        <f t="shared" si="102"/>
        <v>2</v>
      </c>
      <c r="K83" s="126">
        <f t="shared" si="102"/>
        <v>0</v>
      </c>
      <c r="L83" s="126">
        <f t="shared" si="102"/>
        <v>7</v>
      </c>
      <c r="M83" s="126">
        <f t="shared" si="102"/>
        <v>21</v>
      </c>
      <c r="N83" s="126">
        <f t="shared" si="102"/>
        <v>38</v>
      </c>
      <c r="O83" s="126">
        <f t="shared" si="102"/>
        <v>2</v>
      </c>
      <c r="P83" s="126">
        <f t="shared" si="102"/>
        <v>42</v>
      </c>
      <c r="Q83" s="126">
        <f t="shared" si="102"/>
        <v>54</v>
      </c>
      <c r="R83" s="126">
        <f t="shared" si="102"/>
        <v>51</v>
      </c>
      <c r="S83" s="126">
        <f t="shared" si="102"/>
        <v>104</v>
      </c>
      <c r="T83" s="126">
        <f t="shared" si="102"/>
        <v>35</v>
      </c>
      <c r="U83" s="126">
        <f t="shared" si="102"/>
        <v>39</v>
      </c>
      <c r="V83" s="126">
        <f t="shared" si="102"/>
        <v>46</v>
      </c>
      <c r="W83" s="126">
        <f t="shared" si="102"/>
        <v>250</v>
      </c>
      <c r="X83" s="126">
        <f t="shared" si="102"/>
        <v>19</v>
      </c>
      <c r="Y83" s="126">
        <f t="shared" si="102"/>
        <v>75</v>
      </c>
      <c r="Z83" s="126">
        <f t="shared" si="102"/>
        <v>1</v>
      </c>
      <c r="AA83" s="126">
        <f t="shared" si="102"/>
        <v>3</v>
      </c>
      <c r="AB83" s="126">
        <f t="shared" si="102"/>
        <v>0</v>
      </c>
      <c r="AC83" s="126">
        <f t="shared" si="102"/>
        <v>4</v>
      </c>
      <c r="AD83" s="126">
        <f t="shared" si="102"/>
        <v>797</v>
      </c>
      <c r="AE83" s="83"/>
      <c r="AF83" s="66"/>
      <c r="AG83" s="127">
        <f t="shared" si="90"/>
        <v>0.94206840686609472</v>
      </c>
      <c r="AH83" s="128">
        <f t="shared" si="91"/>
        <v>0.78669395877380233</v>
      </c>
      <c r="AI83" s="129">
        <f t="shared" si="92"/>
        <v>0.98358191801950978</v>
      </c>
      <c r="AJ83" s="130"/>
      <c r="AK83" s="131">
        <f t="shared" si="93"/>
        <v>6</v>
      </c>
      <c r="AL83" s="126">
        <f t="shared" si="94"/>
        <v>393</v>
      </c>
      <c r="AM83" s="126">
        <f t="shared" si="95"/>
        <v>390</v>
      </c>
      <c r="AN83" s="126">
        <f t="shared" si="96"/>
        <v>8</v>
      </c>
      <c r="AO83" s="132">
        <f t="shared" si="97"/>
        <v>797</v>
      </c>
      <c r="AP83" s="87"/>
      <c r="AQ83" s="133">
        <f t="shared" si="98"/>
        <v>0.8970588235294118</v>
      </c>
      <c r="AR83" s="134">
        <f t="shared" si="99"/>
        <v>0.32307692307692309</v>
      </c>
    </row>
    <row r="84" spans="1:44" s="90" customFormat="1" ht="15.75" thickTop="1" x14ac:dyDescent="0.25">
      <c r="A84" s="123"/>
      <c r="B84" s="79"/>
      <c r="C84" s="187"/>
      <c r="D84" s="111"/>
      <c r="F84" s="93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3"/>
      <c r="AF84" s="66"/>
      <c r="AG84" s="84"/>
      <c r="AH84" s="85"/>
      <c r="AI84" s="86"/>
      <c r="AJ84" s="95"/>
      <c r="AK84" s="96"/>
      <c r="AL84" s="94"/>
      <c r="AM84" s="94"/>
      <c r="AN84" s="94"/>
      <c r="AO84" s="97"/>
      <c r="AP84" s="87"/>
      <c r="AQ84" s="28"/>
      <c r="AR84" s="29"/>
    </row>
    <row r="85" spans="1:44" s="90" customFormat="1" x14ac:dyDescent="0.25">
      <c r="A85" s="123"/>
      <c r="B85" s="119">
        <v>4</v>
      </c>
      <c r="C85" s="208" t="s">
        <v>242</v>
      </c>
      <c r="D85" s="111"/>
      <c r="F85" s="93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3"/>
      <c r="AF85" s="66"/>
      <c r="AG85" s="84"/>
      <c r="AH85" s="85"/>
      <c r="AI85" s="86"/>
      <c r="AJ85" s="95"/>
      <c r="AK85" s="96"/>
      <c r="AL85" s="94"/>
      <c r="AM85" s="94"/>
      <c r="AN85" s="94"/>
      <c r="AO85" s="97"/>
      <c r="AP85" s="87"/>
      <c r="AQ85" s="28"/>
      <c r="AR85" s="29"/>
    </row>
    <row r="86" spans="1:44" s="90" customFormat="1" x14ac:dyDescent="0.25">
      <c r="A86" s="123">
        <f>+A74+1</f>
        <v>41</v>
      </c>
      <c r="B86" s="79">
        <f>+B85+0.01</f>
        <v>4.01</v>
      </c>
      <c r="C86" s="90" t="s">
        <v>229</v>
      </c>
      <c r="D86" s="111" t="s">
        <v>62</v>
      </c>
      <c r="E86" s="90" t="s">
        <v>139</v>
      </c>
      <c r="F86" s="93" t="s">
        <v>36</v>
      </c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>
        <v>1</v>
      </c>
      <c r="S86" s="82">
        <v>1</v>
      </c>
      <c r="T86" s="82">
        <v>2</v>
      </c>
      <c r="U86" s="82"/>
      <c r="V86" s="82"/>
      <c r="W86" s="82">
        <v>3</v>
      </c>
      <c r="X86" s="82"/>
      <c r="Y86" s="82"/>
      <c r="Z86" s="82"/>
      <c r="AA86" s="82"/>
      <c r="AB86" s="82"/>
      <c r="AC86" s="82"/>
      <c r="AD86" s="82">
        <f>SUM(G86:AC86)</f>
        <v>7</v>
      </c>
      <c r="AE86" s="83" t="s">
        <v>37</v>
      </c>
      <c r="AF86" s="66"/>
      <c r="AG86" s="84">
        <f>CORREL(L86:Y86,L$10:Y$10)</f>
        <v>0.73326977563592732</v>
      </c>
      <c r="AH86" s="85">
        <f t="shared" ref="AH86" si="103">CORREL(L86:U86,L$10:U$10)</f>
        <v>-0.52097176325844097</v>
      </c>
      <c r="AI86" s="86"/>
      <c r="AJ86" s="95"/>
      <c r="AK86" s="96">
        <f>SUM(G86:K86)</f>
        <v>0</v>
      </c>
      <c r="AL86" s="94">
        <f>SUM(L86:U86)</f>
        <v>4</v>
      </c>
      <c r="AM86" s="94">
        <f>SUM(V86:Y86)</f>
        <v>3</v>
      </c>
      <c r="AN86" s="94">
        <f>SUM(Z86:AC86)</f>
        <v>0</v>
      </c>
      <c r="AO86" s="97">
        <f>SUM(AK86:AN86)</f>
        <v>7</v>
      </c>
      <c r="AP86" s="87"/>
      <c r="AQ86" s="28">
        <f>IF(SUM(M86:O86)=0,0,SUM(M86:O86)/SUM(L86:O86))</f>
        <v>0</v>
      </c>
      <c r="AR86" s="29">
        <f>IF(SUM(Q86:R86)=0,0,SUM(Q86:R86)/SUM(P86:U86))</f>
        <v>0.25</v>
      </c>
    </row>
    <row r="87" spans="1:44" s="90" customFormat="1" x14ac:dyDescent="0.25">
      <c r="A87" s="79"/>
      <c r="B87" s="79"/>
      <c r="C87" s="122" t="s">
        <v>265</v>
      </c>
      <c r="D87" s="111"/>
      <c r="F87" s="93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83"/>
      <c r="AF87" s="153"/>
      <c r="AG87" s="84"/>
      <c r="AH87" s="85"/>
      <c r="AI87" s="86"/>
      <c r="AJ87" s="95"/>
      <c r="AK87" s="96"/>
      <c r="AL87" s="94"/>
      <c r="AM87" s="94"/>
      <c r="AN87" s="94"/>
      <c r="AO87" s="97"/>
      <c r="AP87" s="87"/>
      <c r="AQ87" s="28"/>
      <c r="AR87" s="29"/>
    </row>
    <row r="88" spans="1:44" s="90" customFormat="1" ht="15.75" thickBot="1" x14ac:dyDescent="0.3">
      <c r="A88" s="123">
        <f>+A86+1</f>
        <v>42</v>
      </c>
      <c r="B88" s="79">
        <f>+B86+0.01</f>
        <v>4.0199999999999996</v>
      </c>
      <c r="C88" s="93" t="s">
        <v>180</v>
      </c>
      <c r="D88" s="111" t="s">
        <v>62</v>
      </c>
      <c r="E88" s="90" t="s">
        <v>139</v>
      </c>
      <c r="F88" s="93" t="s">
        <v>241</v>
      </c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>
        <v>3</v>
      </c>
      <c r="T88" s="82"/>
      <c r="U88" s="82">
        <v>1</v>
      </c>
      <c r="V88" s="82">
        <v>2</v>
      </c>
      <c r="W88" s="82">
        <v>11</v>
      </c>
      <c r="X88" s="82">
        <v>4</v>
      </c>
      <c r="Y88" s="82">
        <v>9</v>
      </c>
      <c r="Z88" s="82"/>
      <c r="AA88" s="82"/>
      <c r="AB88" s="82">
        <v>3</v>
      </c>
      <c r="AC88" s="82">
        <v>2</v>
      </c>
      <c r="AD88" s="82">
        <f>SUM(G88:AC88)</f>
        <v>35</v>
      </c>
      <c r="AE88" s="83" t="s">
        <v>250</v>
      </c>
      <c r="AF88" s="66"/>
      <c r="AG88" s="84">
        <f>CORREL(L88:Y88,L$10:Y$10)</f>
        <v>0.85465476820724273</v>
      </c>
      <c r="AH88" s="85">
        <f>CORREL(L88:U88,L$10:U$10)</f>
        <v>1</v>
      </c>
      <c r="AI88" s="86">
        <f>CORREL(V88:Y88,V$10:Y$10)</f>
        <v>0.87624229280377486</v>
      </c>
      <c r="AJ88" s="95"/>
      <c r="AK88" s="138">
        <f>SUM(G88:K88)</f>
        <v>0</v>
      </c>
      <c r="AL88" s="139">
        <f>SUM(L88:U88)</f>
        <v>4</v>
      </c>
      <c r="AM88" s="139">
        <f>SUM(V88:Y88)</f>
        <v>26</v>
      </c>
      <c r="AN88" s="139">
        <f>SUM(Z88:AC88)</f>
        <v>5</v>
      </c>
      <c r="AO88" s="140">
        <f t="shared" ref="AO88" si="104">SUM(AK88:AN88)</f>
        <v>35</v>
      </c>
      <c r="AP88" s="87"/>
      <c r="AQ88" s="141">
        <f>IF(SUM(M88:O88)=0,0,SUM(M88:O88)/SUM(L88:O88))</f>
        <v>0</v>
      </c>
      <c r="AR88" s="142">
        <f>IF(SUM(Q88:R88)=0,0,SUM(Q88:R88)/SUM(P88:U88))</f>
        <v>0</v>
      </c>
    </row>
    <row r="89" spans="1:44" s="90" customFormat="1" ht="16.5" thickTop="1" thickBot="1" x14ac:dyDescent="0.3">
      <c r="A89" s="79"/>
      <c r="B89" s="79"/>
      <c r="C89" s="125" t="s">
        <v>261</v>
      </c>
      <c r="D89" s="111"/>
      <c r="F89" s="93"/>
      <c r="G89" s="147">
        <f>+G88+G86</f>
        <v>0</v>
      </c>
      <c r="H89" s="147">
        <f t="shared" ref="H89:AD89" si="105">+H88+H86</f>
        <v>0</v>
      </c>
      <c r="I89" s="147">
        <f t="shared" si="105"/>
        <v>0</v>
      </c>
      <c r="J89" s="147">
        <f t="shared" si="105"/>
        <v>0</v>
      </c>
      <c r="K89" s="147">
        <f t="shared" si="105"/>
        <v>0</v>
      </c>
      <c r="L89" s="147">
        <f t="shared" si="105"/>
        <v>0</v>
      </c>
      <c r="M89" s="147">
        <f t="shared" si="105"/>
        <v>0</v>
      </c>
      <c r="N89" s="147">
        <f t="shared" si="105"/>
        <v>0</v>
      </c>
      <c r="O89" s="147">
        <f t="shared" si="105"/>
        <v>0</v>
      </c>
      <c r="P89" s="147">
        <f t="shared" si="105"/>
        <v>0</v>
      </c>
      <c r="Q89" s="147">
        <f t="shared" si="105"/>
        <v>0</v>
      </c>
      <c r="R89" s="147">
        <f t="shared" si="105"/>
        <v>1</v>
      </c>
      <c r="S89" s="147">
        <f t="shared" si="105"/>
        <v>4</v>
      </c>
      <c r="T89" s="147">
        <f t="shared" si="105"/>
        <v>2</v>
      </c>
      <c r="U89" s="147">
        <f t="shared" si="105"/>
        <v>1</v>
      </c>
      <c r="V89" s="147">
        <f t="shared" si="105"/>
        <v>2</v>
      </c>
      <c r="W89" s="147">
        <f t="shared" si="105"/>
        <v>14</v>
      </c>
      <c r="X89" s="147">
        <f t="shared" si="105"/>
        <v>4</v>
      </c>
      <c r="Y89" s="147">
        <f t="shared" si="105"/>
        <v>9</v>
      </c>
      <c r="Z89" s="147">
        <f t="shared" si="105"/>
        <v>0</v>
      </c>
      <c r="AA89" s="147">
        <f t="shared" si="105"/>
        <v>0</v>
      </c>
      <c r="AB89" s="147">
        <f t="shared" si="105"/>
        <v>3</v>
      </c>
      <c r="AC89" s="147">
        <f t="shared" si="105"/>
        <v>2</v>
      </c>
      <c r="AD89" s="147">
        <f t="shared" si="105"/>
        <v>42</v>
      </c>
      <c r="AE89" s="83"/>
      <c r="AF89" s="153"/>
      <c r="AG89" s="209">
        <f>CORREL(L89:Y89,L$10:Y$10)</f>
        <v>0.94804536296876041</v>
      </c>
      <c r="AH89" s="210">
        <f>CORREL(L89:U89,L$10:U$10)</f>
        <v>0.86172803425428379</v>
      </c>
      <c r="AI89" s="211">
        <f>CORREL(V89:Y89,V$10:Y$10)</f>
        <v>0.94210012334229865</v>
      </c>
      <c r="AJ89" s="130"/>
      <c r="AK89" s="131">
        <f>+AK86+AK88</f>
        <v>0</v>
      </c>
      <c r="AL89" s="126">
        <f>+AL88+AL86</f>
        <v>8</v>
      </c>
      <c r="AM89" s="126">
        <f t="shared" ref="AM89:AN89" si="106">+AM88+AM86</f>
        <v>29</v>
      </c>
      <c r="AN89" s="126">
        <f t="shared" si="106"/>
        <v>5</v>
      </c>
      <c r="AO89" s="132">
        <f>+AO86+AO88</f>
        <v>42</v>
      </c>
      <c r="AP89" s="87"/>
      <c r="AQ89" s="28">
        <f>IF(SUM(M89:O89)=0,0,SUM(M89:O89)/SUM(L89:O89))</f>
        <v>0</v>
      </c>
      <c r="AR89" s="29">
        <f>IF(SUM(Q89:R89)=0,0,SUM(Q89:R89)/SUM(P89:U89))</f>
        <v>0.125</v>
      </c>
    </row>
    <row r="90" spans="1:44" s="90" customFormat="1" ht="15.75" thickBot="1" x14ac:dyDescent="0.3">
      <c r="A90" s="79"/>
      <c r="B90" s="79"/>
      <c r="C90" s="125"/>
      <c r="D90" s="111"/>
      <c r="F90" s="93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83"/>
      <c r="AF90" s="153"/>
      <c r="AG90" s="154"/>
      <c r="AH90" s="155"/>
      <c r="AI90" s="156"/>
      <c r="AJ90" s="130"/>
      <c r="AK90" s="143"/>
      <c r="AL90" s="135"/>
      <c r="AM90" s="135"/>
      <c r="AN90" s="135"/>
      <c r="AO90" s="144"/>
      <c r="AP90" s="87"/>
      <c r="AQ90" s="28"/>
      <c r="AR90" s="29"/>
    </row>
    <row r="91" spans="1:44" s="160" customFormat="1" ht="16.5" thickTop="1" thickBot="1" x14ac:dyDescent="0.25">
      <c r="A91" s="157"/>
      <c r="B91" s="157"/>
      <c r="C91" s="158" t="s">
        <v>336</v>
      </c>
      <c r="D91" s="159"/>
      <c r="F91" s="161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>
        <v>9</v>
      </c>
      <c r="T91" s="162">
        <v>3</v>
      </c>
      <c r="U91" s="162">
        <v>3</v>
      </c>
      <c r="V91" s="162">
        <v>2</v>
      </c>
      <c r="W91" s="162">
        <v>19</v>
      </c>
      <c r="X91" s="162">
        <v>4</v>
      </c>
      <c r="Y91" s="162">
        <v>10</v>
      </c>
      <c r="Z91" s="162"/>
      <c r="AA91" s="162"/>
      <c r="AB91" s="162"/>
      <c r="AC91" s="162"/>
      <c r="AD91" s="162">
        <f>SUM(G91:AC91)</f>
        <v>50</v>
      </c>
      <c r="AE91" s="163"/>
      <c r="AF91" s="164"/>
      <c r="AG91" s="165">
        <f>CORREL(L91:Y91,L$10:Y$10)</f>
        <v>0.96711929901087723</v>
      </c>
      <c r="AH91" s="166">
        <f t="shared" ref="AH91" si="107">CORREL(L91:U91,L$10:U$10)</f>
        <v>0.95632471578712019</v>
      </c>
      <c r="AI91" s="167">
        <f>CORREL(V91:Y91,V$10:Y$10)</f>
        <v>0.9680893459116573</v>
      </c>
      <c r="AJ91" s="168"/>
      <c r="AK91" s="202">
        <f>SUM(G91:K91)</f>
        <v>0</v>
      </c>
      <c r="AL91" s="203">
        <f>SUM(L91:U91)</f>
        <v>15</v>
      </c>
      <c r="AM91" s="203">
        <f>SUM(V91:Y91)</f>
        <v>35</v>
      </c>
      <c r="AN91" s="203">
        <f>SUM(Z91:AC91)</f>
        <v>0</v>
      </c>
      <c r="AO91" s="204">
        <f t="shared" ref="AO91" si="108">SUM(AK91:AN91)</f>
        <v>50</v>
      </c>
      <c r="AP91" s="172"/>
      <c r="AQ91" s="205">
        <f>IF(SUM(M91:O91)=0,0,SUM(M91:O91)/SUM(L91:O91))</f>
        <v>0</v>
      </c>
      <c r="AR91" s="206">
        <f>IF(SUM(Q91:R91)=0,0,SUM(Q91:R91)/SUM(P91:U91))</f>
        <v>0</v>
      </c>
    </row>
    <row r="92" spans="1:44" s="90" customFormat="1" x14ac:dyDescent="0.25">
      <c r="A92" s="79"/>
      <c r="B92" s="79"/>
      <c r="C92" s="125"/>
      <c r="D92" s="111"/>
      <c r="F92" s="93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83"/>
      <c r="AF92" s="153"/>
      <c r="AG92" s="154"/>
      <c r="AH92" s="155"/>
      <c r="AI92" s="156"/>
      <c r="AJ92" s="130"/>
      <c r="AK92" s="143"/>
      <c r="AL92" s="135"/>
      <c r="AM92" s="135"/>
      <c r="AN92" s="135"/>
      <c r="AO92" s="144"/>
      <c r="AP92" s="87"/>
      <c r="AQ92" s="28"/>
      <c r="AR92" s="29"/>
    </row>
    <row r="93" spans="1:44" s="90" customFormat="1" x14ac:dyDescent="0.25">
      <c r="A93" s="123"/>
      <c r="B93" s="119">
        <v>5</v>
      </c>
      <c r="C93" s="208" t="s">
        <v>235</v>
      </c>
      <c r="D93" s="81"/>
      <c r="E93" s="81"/>
      <c r="F93" s="120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3"/>
      <c r="AF93" s="66"/>
      <c r="AG93" s="84"/>
      <c r="AH93" s="85"/>
      <c r="AI93" s="86"/>
      <c r="AJ93" s="95"/>
      <c r="AK93" s="96"/>
      <c r="AL93" s="94"/>
      <c r="AM93" s="94"/>
      <c r="AN93" s="94"/>
      <c r="AO93" s="89"/>
      <c r="AP93" s="87"/>
      <c r="AQ93" s="116"/>
      <c r="AR93" s="117"/>
    </row>
    <row r="94" spans="1:44" s="90" customFormat="1" x14ac:dyDescent="0.25">
      <c r="A94" s="123">
        <f>+A88+1</f>
        <v>43</v>
      </c>
      <c r="B94" s="79">
        <f>+B93+0.01</f>
        <v>5.01</v>
      </c>
      <c r="C94" s="184" t="s">
        <v>10</v>
      </c>
      <c r="D94" s="111" t="s">
        <v>61</v>
      </c>
      <c r="E94" s="90" t="s">
        <v>159</v>
      </c>
      <c r="F94" s="93" t="s">
        <v>36</v>
      </c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>
        <v>8</v>
      </c>
      <c r="T94" s="82">
        <v>1</v>
      </c>
      <c r="U94" s="82"/>
      <c r="V94" s="82">
        <v>1</v>
      </c>
      <c r="W94" s="82">
        <v>24</v>
      </c>
      <c r="X94" s="82">
        <v>1</v>
      </c>
      <c r="Y94" s="82">
        <v>6</v>
      </c>
      <c r="Z94" s="82"/>
      <c r="AA94" s="82"/>
      <c r="AB94" s="82"/>
      <c r="AC94" s="82"/>
      <c r="AD94" s="82">
        <f>SUM(G94:AC94)</f>
        <v>41</v>
      </c>
      <c r="AE94" s="83" t="s">
        <v>41</v>
      </c>
      <c r="AF94" s="66" t="s">
        <v>201</v>
      </c>
      <c r="AG94" s="84">
        <f>CORREL(L94:Y94,L$10:Y$10)</f>
        <v>0.96966076423596459</v>
      </c>
      <c r="AH94" s="85">
        <f>CORREL(L94:U94,L$10:U$10)</f>
        <v>1</v>
      </c>
      <c r="AI94" s="86">
        <f>CORREL(V94:Y94,V$10:Y$10)</f>
        <v>0.97864601755533942</v>
      </c>
      <c r="AJ94" s="95"/>
      <c r="AK94" s="96">
        <f>SUM(G94:K94)</f>
        <v>0</v>
      </c>
      <c r="AL94" s="94">
        <f>SUM(L94:U94)</f>
        <v>9</v>
      </c>
      <c r="AM94" s="94">
        <f>SUM(V94:Y94)</f>
        <v>32</v>
      </c>
      <c r="AN94" s="94">
        <f>SUM(Z94:AC94)</f>
        <v>0</v>
      </c>
      <c r="AO94" s="97">
        <f>SUM(AK94:AN94)</f>
        <v>41</v>
      </c>
      <c r="AP94" s="87"/>
      <c r="AQ94" s="28">
        <f>IF(SUM(M94:O94)=0,0,SUM(M94:O94)/SUM(L94:O94))</f>
        <v>0</v>
      </c>
      <c r="AR94" s="29">
        <f>IF(SUM(Q94:R94)=0,0,SUM(Q94:R94)/SUM(P94:U94))</f>
        <v>0</v>
      </c>
    </row>
    <row r="95" spans="1:44" s="90" customFormat="1" x14ac:dyDescent="0.25">
      <c r="A95" s="123">
        <f>+A94+1</f>
        <v>44</v>
      </c>
      <c r="B95" s="79">
        <f>+B94+0.01</f>
        <v>5.0199999999999996</v>
      </c>
      <c r="C95" s="184" t="s">
        <v>214</v>
      </c>
      <c r="D95" s="111" t="s">
        <v>61</v>
      </c>
      <c r="E95" s="90" t="s">
        <v>215</v>
      </c>
      <c r="F95" s="93" t="s">
        <v>36</v>
      </c>
      <c r="G95" s="82"/>
      <c r="H95" s="82"/>
      <c r="I95" s="82"/>
      <c r="J95" s="82"/>
      <c r="K95" s="82"/>
      <c r="L95" s="82">
        <v>1</v>
      </c>
      <c r="M95" s="82"/>
      <c r="N95" s="82"/>
      <c r="O95" s="82"/>
      <c r="P95" s="82">
        <v>1</v>
      </c>
      <c r="Q95" s="82"/>
      <c r="R95" s="82"/>
      <c r="S95" s="82">
        <v>4</v>
      </c>
      <c r="T95" s="82"/>
      <c r="U95" s="82"/>
      <c r="V95" s="82">
        <v>3</v>
      </c>
      <c r="W95" s="82">
        <v>7</v>
      </c>
      <c r="X95" s="82"/>
      <c r="Y95" s="82"/>
      <c r="Z95" s="82"/>
      <c r="AA95" s="82"/>
      <c r="AB95" s="82"/>
      <c r="AC95" s="82"/>
      <c r="AD95" s="82">
        <f>SUM(G95:AC95)</f>
        <v>16</v>
      </c>
      <c r="AE95" s="83" t="s">
        <v>46</v>
      </c>
      <c r="AF95" s="66" t="s">
        <v>196</v>
      </c>
      <c r="AG95" s="84">
        <f>CORREL(L95:Y95,L$10:Y$10)</f>
        <v>0.97649531349675067</v>
      </c>
      <c r="AH95" s="85">
        <f>CORREL(L95:U95,L$10:U$10)</f>
        <v>0.99473329605149985</v>
      </c>
      <c r="AI95" s="86">
        <f>CORREL(V95:Y95,V$10:Y$10)</f>
        <v>1</v>
      </c>
      <c r="AJ95" s="95"/>
      <c r="AK95" s="96">
        <f>SUM(G95:K95)</f>
        <v>0</v>
      </c>
      <c r="AL95" s="94">
        <f>SUM(L95:U95)</f>
        <v>6</v>
      </c>
      <c r="AM95" s="94">
        <f>SUM(V95:Y95)</f>
        <v>10</v>
      </c>
      <c r="AN95" s="94">
        <f>SUM(Z95:AC95)</f>
        <v>0</v>
      </c>
      <c r="AO95" s="97">
        <f>SUM(AK95:AN95)</f>
        <v>16</v>
      </c>
      <c r="AP95" s="87"/>
      <c r="AQ95" s="28">
        <f>IF(SUM(M95:O95)=0,0,SUM(M95:O95)/SUM(L95:O95))</f>
        <v>0</v>
      </c>
      <c r="AR95" s="29">
        <f>IF(SUM(Q95:R95)=0,0,SUM(Q95:R95)/SUM(P95:U95))</f>
        <v>0</v>
      </c>
    </row>
    <row r="96" spans="1:44" s="90" customFormat="1" x14ac:dyDescent="0.25">
      <c r="A96" s="123">
        <f t="shared" ref="A96:A98" si="109">+A95+1</f>
        <v>45</v>
      </c>
      <c r="B96" s="79">
        <f>+B95+0.01</f>
        <v>5.0299999999999994</v>
      </c>
      <c r="C96" s="184" t="s">
        <v>124</v>
      </c>
      <c r="D96" s="111" t="s">
        <v>61</v>
      </c>
      <c r="E96" s="90" t="s">
        <v>156</v>
      </c>
      <c r="F96" s="93" t="s">
        <v>36</v>
      </c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>
        <v>3</v>
      </c>
      <c r="T96" s="82">
        <v>1</v>
      </c>
      <c r="U96" s="82">
        <v>3</v>
      </c>
      <c r="V96" s="82">
        <v>1</v>
      </c>
      <c r="W96" s="82">
        <v>6</v>
      </c>
      <c r="X96" s="82"/>
      <c r="Y96" s="82">
        <v>1</v>
      </c>
      <c r="Z96" s="82"/>
      <c r="AA96" s="82"/>
      <c r="AB96" s="82"/>
      <c r="AC96" s="82"/>
      <c r="AD96" s="82">
        <f>SUM(G96:AC96)</f>
        <v>15</v>
      </c>
      <c r="AE96" s="83" t="s">
        <v>43</v>
      </c>
      <c r="AF96" s="66" t="s">
        <v>211</v>
      </c>
      <c r="AG96" s="84">
        <f>CORREL(L96:Y96,L$10:Y$10)</f>
        <v>0.79028294170093971</v>
      </c>
      <c r="AH96" s="85">
        <f t="shared" ref="AH96" si="110">CORREL(L96:U96,L$10:U$10)</f>
        <v>0.73130713560191551</v>
      </c>
      <c r="AI96" s="86">
        <f>CORREL(V96:Y96,V$10:Y$10)</f>
        <v>0.95216816527803283</v>
      </c>
      <c r="AJ96" s="95"/>
      <c r="AK96" s="96">
        <f>SUM(G96:K96)</f>
        <v>0</v>
      </c>
      <c r="AL96" s="94">
        <f>SUM(L96:U96)</f>
        <v>7</v>
      </c>
      <c r="AM96" s="94">
        <f>SUM(V96:Y96)</f>
        <v>8</v>
      </c>
      <c r="AN96" s="94">
        <f>SUM(Z96:AC96)</f>
        <v>0</v>
      </c>
      <c r="AO96" s="97">
        <f>SUM(AK96:AN96)</f>
        <v>15</v>
      </c>
      <c r="AP96" s="87"/>
      <c r="AQ96" s="28">
        <f>IF(SUM(M96:O96)=0,0,SUM(M96:O96)/SUM(L96:O96))</f>
        <v>0</v>
      </c>
      <c r="AR96" s="29">
        <f>IF(SUM(Q96:R96)=0,0,SUM(Q96:R96)/SUM(P96:U96))</f>
        <v>0</v>
      </c>
    </row>
    <row r="97" spans="1:44" s="90" customFormat="1" x14ac:dyDescent="0.25">
      <c r="A97" s="123">
        <f t="shared" si="109"/>
        <v>46</v>
      </c>
      <c r="B97" s="79">
        <f>+B96+0.01</f>
        <v>5.0399999999999991</v>
      </c>
      <c r="C97" s="184" t="s">
        <v>127</v>
      </c>
      <c r="D97" s="111" t="s">
        <v>61</v>
      </c>
      <c r="E97" s="90" t="s">
        <v>158</v>
      </c>
      <c r="F97" s="93" t="s">
        <v>36</v>
      </c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>
        <v>1</v>
      </c>
      <c r="U97" s="82"/>
      <c r="V97" s="82">
        <v>2</v>
      </c>
      <c r="W97" s="82">
        <v>9</v>
      </c>
      <c r="X97" s="82"/>
      <c r="Y97" s="82">
        <v>2</v>
      </c>
      <c r="Z97" s="82"/>
      <c r="AA97" s="82"/>
      <c r="AB97" s="82"/>
      <c r="AC97" s="82"/>
      <c r="AD97" s="82">
        <f>SUM(G97:AC97)</f>
        <v>14</v>
      </c>
      <c r="AE97" s="83" t="s">
        <v>48</v>
      </c>
      <c r="AF97" s="66"/>
      <c r="AG97" s="84">
        <f>CORREL(L97:Y97,L$10:Y$10)</f>
        <v>0.9468920920875743</v>
      </c>
      <c r="AH97" s="85"/>
      <c r="AI97" s="86">
        <f>CORREL(V97:Y97,V$10:Y$10)</f>
        <v>0.9521681652780325</v>
      </c>
      <c r="AJ97" s="95"/>
      <c r="AK97" s="96">
        <f>SUM(G97:K97)</f>
        <v>0</v>
      </c>
      <c r="AL97" s="94">
        <f>SUM(L97:U97)</f>
        <v>1</v>
      </c>
      <c r="AM97" s="94">
        <f>SUM(V97:Y97)</f>
        <v>13</v>
      </c>
      <c r="AN97" s="94">
        <f>SUM(Z97:AC97)</f>
        <v>0</v>
      </c>
      <c r="AO97" s="97">
        <f>SUM(AK97:AN97)</f>
        <v>14</v>
      </c>
      <c r="AP97" s="87"/>
      <c r="AQ97" s="28">
        <f>IF(SUM(M97:O97)=0,0,SUM(M97:O97)/SUM(L97:O97))</f>
        <v>0</v>
      </c>
      <c r="AR97" s="29">
        <f>IF(SUM(Q97:R97)=0,0,SUM(Q97:R97)/SUM(P97:U97))</f>
        <v>0</v>
      </c>
    </row>
    <row r="98" spans="1:44" s="90" customFormat="1" x14ac:dyDescent="0.25">
      <c r="A98" s="123">
        <f t="shared" si="109"/>
        <v>47</v>
      </c>
      <c r="B98" s="79">
        <f>+B97+0.01</f>
        <v>5.0499999999999989</v>
      </c>
      <c r="C98" s="184" t="s">
        <v>131</v>
      </c>
      <c r="D98" s="111" t="s">
        <v>61</v>
      </c>
      <c r="E98" s="90" t="s">
        <v>157</v>
      </c>
      <c r="F98" s="93" t="s">
        <v>36</v>
      </c>
      <c r="G98" s="82"/>
      <c r="H98" s="82"/>
      <c r="I98" s="82"/>
      <c r="J98" s="82"/>
      <c r="K98" s="82">
        <v>1</v>
      </c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>
        <v>2</v>
      </c>
      <c r="W98" s="82">
        <v>6</v>
      </c>
      <c r="X98" s="82"/>
      <c r="Y98" s="82">
        <v>1</v>
      </c>
      <c r="Z98" s="82"/>
      <c r="AA98" s="82"/>
      <c r="AB98" s="82"/>
      <c r="AC98" s="82"/>
      <c r="AD98" s="82">
        <f>SUM(G98:AC98)</f>
        <v>10</v>
      </c>
      <c r="AE98" s="83" t="s">
        <v>46</v>
      </c>
      <c r="AF98" s="87"/>
      <c r="AG98" s="84">
        <f>CORREL(L98:Y98,L$10:Y$10)</f>
        <v>0.87726242128072474</v>
      </c>
      <c r="AH98" s="85"/>
      <c r="AI98" s="86">
        <f>CORREL(V98:Y98,V$10:Y$10)</f>
        <v>0.87726242128072474</v>
      </c>
      <c r="AJ98" s="95"/>
      <c r="AK98" s="96">
        <f>SUM(G98:K98)</f>
        <v>1</v>
      </c>
      <c r="AL98" s="94">
        <f>SUM(L98:U98)</f>
        <v>0</v>
      </c>
      <c r="AM98" s="94">
        <f>SUM(V98:Y98)</f>
        <v>9</v>
      </c>
      <c r="AN98" s="94">
        <f>SUM(Z98:AC98)</f>
        <v>0</v>
      </c>
      <c r="AO98" s="97">
        <f>SUM(AK98:AN98)</f>
        <v>10</v>
      </c>
      <c r="AP98" s="87"/>
      <c r="AQ98" s="28">
        <f>IF(SUM(M98:O98)=0,0,SUM(M98:O98)/SUM(L98:O98))</f>
        <v>0</v>
      </c>
      <c r="AR98" s="29">
        <f>IF(SUM(Q98:R98)=0,0,SUM(Q98:R98)/SUM(P98:U98))</f>
        <v>0</v>
      </c>
    </row>
    <row r="99" spans="1:44" s="90" customFormat="1" ht="15.75" thickBot="1" x14ac:dyDescent="0.25">
      <c r="A99" s="79"/>
      <c r="B99" s="79"/>
      <c r="C99" s="175" t="s">
        <v>245</v>
      </c>
      <c r="D99" s="81"/>
      <c r="E99" s="81"/>
      <c r="F99" s="120"/>
      <c r="G99" s="199">
        <f>SUM(G94:G98)</f>
        <v>0</v>
      </c>
      <c r="H99" s="199">
        <f t="shared" ref="H99:AD99" si="111">SUM(H94:H98)</f>
        <v>0</v>
      </c>
      <c r="I99" s="199">
        <f t="shared" si="111"/>
        <v>0</v>
      </c>
      <c r="J99" s="199">
        <f t="shared" si="111"/>
        <v>0</v>
      </c>
      <c r="K99" s="199">
        <f t="shared" si="111"/>
        <v>1</v>
      </c>
      <c r="L99" s="199">
        <f t="shared" si="111"/>
        <v>1</v>
      </c>
      <c r="M99" s="199">
        <f t="shared" si="111"/>
        <v>0</v>
      </c>
      <c r="N99" s="199">
        <f t="shared" si="111"/>
        <v>0</v>
      </c>
      <c r="O99" s="199">
        <f t="shared" si="111"/>
        <v>0</v>
      </c>
      <c r="P99" s="199">
        <f t="shared" si="111"/>
        <v>1</v>
      </c>
      <c r="Q99" s="199">
        <f t="shared" si="111"/>
        <v>0</v>
      </c>
      <c r="R99" s="199">
        <f t="shared" si="111"/>
        <v>0</v>
      </c>
      <c r="S99" s="199">
        <f t="shared" si="111"/>
        <v>15</v>
      </c>
      <c r="T99" s="199">
        <f t="shared" si="111"/>
        <v>3</v>
      </c>
      <c r="U99" s="199">
        <f t="shared" si="111"/>
        <v>3</v>
      </c>
      <c r="V99" s="199">
        <f t="shared" si="111"/>
        <v>9</v>
      </c>
      <c r="W99" s="199">
        <f t="shared" si="111"/>
        <v>52</v>
      </c>
      <c r="X99" s="199">
        <f t="shared" si="111"/>
        <v>1</v>
      </c>
      <c r="Y99" s="199">
        <f t="shared" si="111"/>
        <v>10</v>
      </c>
      <c r="Z99" s="199">
        <f t="shared" si="111"/>
        <v>0</v>
      </c>
      <c r="AA99" s="199">
        <f t="shared" si="111"/>
        <v>0</v>
      </c>
      <c r="AB99" s="199">
        <f t="shared" si="111"/>
        <v>0</v>
      </c>
      <c r="AC99" s="199">
        <f t="shared" si="111"/>
        <v>0</v>
      </c>
      <c r="AD99" s="199">
        <f t="shared" si="111"/>
        <v>96</v>
      </c>
      <c r="AE99" s="83"/>
      <c r="AF99" s="66"/>
      <c r="AG99" s="127">
        <f t="shared" ref="AG99" si="112">CORREL(L99:Y99,L$10:Y$10)</f>
        <v>0.96842412256409782</v>
      </c>
      <c r="AH99" s="128">
        <f t="shared" ref="AH99:AH120" si="113">CORREL(L99:U99,L$10:U$10)</f>
        <v>0.96826205475401961</v>
      </c>
      <c r="AI99" s="129">
        <f t="shared" ref="AI99" si="114">CORREL(V99:Y99,V$10:Y$10)</f>
        <v>0.96406412048952894</v>
      </c>
      <c r="AJ99" s="130"/>
      <c r="AK99" s="212">
        <f t="shared" ref="AK99" si="115">SUM(G99:K99)</f>
        <v>1</v>
      </c>
      <c r="AL99" s="213">
        <f t="shared" ref="AL99" si="116">SUM(L99:U99)</f>
        <v>23</v>
      </c>
      <c r="AM99" s="213">
        <f t="shared" ref="AM99" si="117">SUM(V99:Y99)</f>
        <v>72</v>
      </c>
      <c r="AN99" s="213">
        <f t="shared" ref="AN99" si="118">SUM(Z99:AC99)</f>
        <v>0</v>
      </c>
      <c r="AO99" s="214">
        <f t="shared" ref="AO99" si="119">SUM(AK99:AN99)</f>
        <v>96</v>
      </c>
      <c r="AP99" s="87"/>
      <c r="AQ99" s="133">
        <f t="shared" ref="AQ99" si="120">IF(SUM(M99:O99)=0,0,SUM(M99:O99)/SUM(L99:O99))</f>
        <v>0</v>
      </c>
      <c r="AR99" s="134">
        <f t="shared" ref="AR99" si="121">IF(SUM(Q99:R99)=0,0,SUM(Q99:R99)/SUM(P99:U99))</f>
        <v>0</v>
      </c>
    </row>
    <row r="100" spans="1:44" s="90" customFormat="1" ht="15.75" thickBot="1" x14ac:dyDescent="0.3">
      <c r="A100" s="79"/>
      <c r="B100" s="79"/>
      <c r="D100" s="81"/>
      <c r="E100" s="81"/>
      <c r="F100" s="120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3"/>
      <c r="AF100" s="66"/>
      <c r="AG100" s="84"/>
      <c r="AH100" s="85"/>
      <c r="AI100" s="86"/>
      <c r="AJ100" s="95"/>
      <c r="AK100" s="96"/>
      <c r="AL100" s="94"/>
      <c r="AM100" s="94"/>
      <c r="AN100" s="94"/>
      <c r="AO100" s="89"/>
      <c r="AP100" s="87"/>
      <c r="AQ100" s="116"/>
      <c r="AR100" s="117"/>
    </row>
    <row r="101" spans="1:44" s="160" customFormat="1" ht="16.5" thickTop="1" thickBot="1" x14ac:dyDescent="0.25">
      <c r="A101" s="157"/>
      <c r="B101" s="157"/>
      <c r="C101" s="158" t="s">
        <v>337</v>
      </c>
      <c r="D101" s="159"/>
      <c r="F101" s="161"/>
      <c r="G101" s="162"/>
      <c r="H101" s="162"/>
      <c r="I101" s="162"/>
      <c r="J101" s="162"/>
      <c r="K101" s="162"/>
      <c r="L101" s="162">
        <v>1</v>
      </c>
      <c r="M101" s="162"/>
      <c r="N101" s="162"/>
      <c r="O101" s="162"/>
      <c r="P101" s="162"/>
      <c r="Q101" s="162"/>
      <c r="R101" s="162"/>
      <c r="S101" s="162">
        <v>17</v>
      </c>
      <c r="T101" s="162">
        <v>5</v>
      </c>
      <c r="U101" s="162">
        <v>5</v>
      </c>
      <c r="V101" s="162">
        <v>13</v>
      </c>
      <c r="W101" s="162">
        <v>54</v>
      </c>
      <c r="X101" s="162">
        <v>2</v>
      </c>
      <c r="Y101" s="162">
        <v>10</v>
      </c>
      <c r="Z101" s="162"/>
      <c r="AA101" s="162"/>
      <c r="AB101" s="162"/>
      <c r="AC101" s="162"/>
      <c r="AD101" s="162">
        <f>SUM(G101:AC101)</f>
        <v>107</v>
      </c>
      <c r="AE101" s="163"/>
      <c r="AF101" s="164"/>
      <c r="AG101" s="165">
        <f>CORREL(L101:Y101,L$10:Y$10)</f>
        <v>0.95218218877335914</v>
      </c>
      <c r="AH101" s="166">
        <f t="shared" ref="AH101" si="122">CORREL(L101:U101,L$10:U$10)</f>
        <v>0.94431784579219136</v>
      </c>
      <c r="AI101" s="167">
        <f>CORREL(V101:Y101,V$10:Y$10)</f>
        <v>0.94783116117835686</v>
      </c>
      <c r="AJ101" s="168"/>
      <c r="AK101" s="215">
        <f t="shared" ref="AK101" si="123">SUM(G101:K101)</f>
        <v>0</v>
      </c>
      <c r="AL101" s="216">
        <f t="shared" ref="AL101" si="124">SUM(L101:U101)</f>
        <v>28</v>
      </c>
      <c r="AM101" s="216">
        <f t="shared" ref="AM101" si="125">SUM(V101:Y101)</f>
        <v>79</v>
      </c>
      <c r="AN101" s="216">
        <f t="shared" ref="AN101" si="126">SUM(Z101:AC101)</f>
        <v>0</v>
      </c>
      <c r="AO101" s="217">
        <f t="shared" ref="AO101" si="127">SUM(AK101:AN101)</f>
        <v>107</v>
      </c>
      <c r="AP101" s="172"/>
      <c r="AQ101" s="218">
        <f t="shared" ref="AQ101" si="128">IF(SUM(M101:O101)=0,0,SUM(M101:O101)/SUM(L101:O101))</f>
        <v>0</v>
      </c>
      <c r="AR101" s="219">
        <f t="shared" ref="AR101" si="129">IF(SUM(Q101:R101)=0,0,SUM(Q101:R101)/SUM(P101:U101))</f>
        <v>0</v>
      </c>
    </row>
    <row r="102" spans="1:44" s="90" customFormat="1" x14ac:dyDescent="0.25">
      <c r="A102" s="79"/>
      <c r="B102" s="79"/>
      <c r="D102" s="81"/>
      <c r="E102" s="81"/>
      <c r="F102" s="120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3"/>
      <c r="AF102" s="66"/>
      <c r="AG102" s="84"/>
      <c r="AH102" s="85"/>
      <c r="AI102" s="86"/>
      <c r="AJ102" s="95"/>
      <c r="AK102" s="96"/>
      <c r="AL102" s="94"/>
      <c r="AM102" s="94"/>
      <c r="AN102" s="94"/>
      <c r="AO102" s="89"/>
      <c r="AP102" s="87"/>
      <c r="AQ102" s="116"/>
      <c r="AR102" s="117"/>
    </row>
    <row r="103" spans="1:44" s="90" customFormat="1" x14ac:dyDescent="0.25">
      <c r="A103" s="79"/>
      <c r="B103" s="119">
        <v>6</v>
      </c>
      <c r="C103" s="80" t="s">
        <v>236</v>
      </c>
      <c r="D103" s="81"/>
      <c r="E103" s="81"/>
      <c r="F103" s="120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3"/>
      <c r="AF103" s="66"/>
      <c r="AG103" s="84"/>
      <c r="AH103" s="85"/>
      <c r="AI103" s="86"/>
      <c r="AJ103" s="95"/>
      <c r="AK103" s="96"/>
      <c r="AL103" s="94"/>
      <c r="AM103" s="94"/>
      <c r="AN103" s="94"/>
      <c r="AO103" s="89"/>
      <c r="AP103" s="87"/>
      <c r="AQ103" s="116"/>
      <c r="AR103" s="117"/>
    </row>
    <row r="104" spans="1:44" s="90" customFormat="1" x14ac:dyDescent="0.25">
      <c r="A104" s="79"/>
      <c r="B104" s="123"/>
      <c r="C104" s="122" t="s">
        <v>229</v>
      </c>
      <c r="D104" s="81"/>
      <c r="E104" s="81"/>
      <c r="F104" s="120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3"/>
      <c r="AF104" s="66"/>
      <c r="AG104" s="84"/>
      <c r="AH104" s="85"/>
      <c r="AI104" s="86"/>
      <c r="AJ104" s="95"/>
      <c r="AK104" s="96"/>
      <c r="AL104" s="94"/>
      <c r="AM104" s="94"/>
      <c r="AN104" s="94"/>
      <c r="AO104" s="89"/>
      <c r="AP104" s="87"/>
      <c r="AQ104" s="116"/>
      <c r="AR104" s="117"/>
    </row>
    <row r="105" spans="1:44" s="90" customFormat="1" x14ac:dyDescent="0.25">
      <c r="A105" s="123">
        <f>+A98+1</f>
        <v>48</v>
      </c>
      <c r="B105" s="79">
        <f>+B$103+0.01</f>
        <v>6.01</v>
      </c>
      <c r="C105" s="93" t="s">
        <v>11</v>
      </c>
      <c r="D105" s="111" t="s">
        <v>61</v>
      </c>
      <c r="E105" s="90" t="s">
        <v>171</v>
      </c>
      <c r="F105" s="93" t="s">
        <v>239</v>
      </c>
      <c r="G105" s="82"/>
      <c r="H105" s="82"/>
      <c r="I105" s="82"/>
      <c r="J105" s="82"/>
      <c r="K105" s="82"/>
      <c r="L105" s="82">
        <v>2</v>
      </c>
      <c r="M105" s="82">
        <v>1</v>
      </c>
      <c r="N105" s="82">
        <v>5</v>
      </c>
      <c r="O105" s="82"/>
      <c r="P105" s="82">
        <v>1</v>
      </c>
      <c r="Q105" s="82">
        <v>8</v>
      </c>
      <c r="R105" s="82">
        <v>2</v>
      </c>
      <c r="S105" s="82">
        <v>12</v>
      </c>
      <c r="T105" s="82">
        <v>5</v>
      </c>
      <c r="U105" s="82">
        <v>13</v>
      </c>
      <c r="V105" s="82">
        <v>14</v>
      </c>
      <c r="W105" s="82">
        <v>60</v>
      </c>
      <c r="X105" s="82">
        <v>3</v>
      </c>
      <c r="Y105" s="82">
        <v>19</v>
      </c>
      <c r="Z105" s="82"/>
      <c r="AA105" s="82"/>
      <c r="AB105" s="82"/>
      <c r="AC105" s="82"/>
      <c r="AD105" s="82">
        <f t="shared" ref="AD105:AD111" si="130">SUM(G105:AC105)</f>
        <v>145</v>
      </c>
      <c r="AE105" s="83" t="s">
        <v>34</v>
      </c>
      <c r="AF105" s="66"/>
      <c r="AG105" s="84">
        <f t="shared" ref="AG105:AG111" si="131">CORREL(L105:Y105,L$10:Y$10)</f>
        <v>0.96187600543740259</v>
      </c>
      <c r="AH105" s="85">
        <f>CORREL(L105:U105,L$10:U$10)</f>
        <v>0.69940530537454659</v>
      </c>
      <c r="AI105" s="86">
        <f t="shared" ref="AI105:AI111" si="132">CORREL(V105:Y105,V$10:Y$10)</f>
        <v>0.98460261222390211</v>
      </c>
      <c r="AJ105" s="95"/>
      <c r="AK105" s="96">
        <f t="shared" ref="AK105:AK111" si="133">SUM(G105:K105)</f>
        <v>0</v>
      </c>
      <c r="AL105" s="94">
        <f t="shared" ref="AL105:AL111" si="134">SUM(L105:U105)</f>
        <v>49</v>
      </c>
      <c r="AM105" s="94">
        <f t="shared" ref="AM105:AM111" si="135">SUM(V105:Y105)</f>
        <v>96</v>
      </c>
      <c r="AN105" s="94">
        <f t="shared" ref="AN105:AN111" si="136">SUM(Z105:AC105)</f>
        <v>0</v>
      </c>
      <c r="AO105" s="97">
        <f t="shared" ref="AO105:AO111" si="137">SUM(AK105:AN105)</f>
        <v>145</v>
      </c>
      <c r="AP105" s="87"/>
      <c r="AQ105" s="28">
        <f t="shared" ref="AQ105:AQ111" si="138">IF(SUM(M105:O105)=0,0,SUM(M105:O105)/SUM(L105:O105))</f>
        <v>0.75</v>
      </c>
      <c r="AR105" s="29">
        <f t="shared" ref="AR105:AR111" si="139">IF(SUM(Q105:R105)=0,0,SUM(Q105:R105)/SUM(P105:U105))</f>
        <v>0.24390243902439024</v>
      </c>
    </row>
    <row r="106" spans="1:44" s="90" customFormat="1" x14ac:dyDescent="0.25">
      <c r="A106" s="123">
        <f>+A105+1</f>
        <v>49</v>
      </c>
      <c r="B106" s="79">
        <f>+B105+0.01</f>
        <v>6.02</v>
      </c>
      <c r="C106" s="93" t="s">
        <v>12</v>
      </c>
      <c r="D106" s="111" t="s">
        <v>66</v>
      </c>
      <c r="E106" s="90" t="s">
        <v>161</v>
      </c>
      <c r="F106" s="93" t="s">
        <v>36</v>
      </c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>
        <v>35</v>
      </c>
      <c r="X106" s="82">
        <v>1</v>
      </c>
      <c r="Y106" s="82">
        <v>36</v>
      </c>
      <c r="Z106" s="82"/>
      <c r="AA106" s="82"/>
      <c r="AB106" s="82"/>
      <c r="AC106" s="82"/>
      <c r="AD106" s="82">
        <f t="shared" si="130"/>
        <v>72</v>
      </c>
      <c r="AE106" s="83" t="s">
        <v>38</v>
      </c>
      <c r="AF106" s="66"/>
      <c r="AG106" s="84">
        <f t="shared" si="131"/>
        <v>0.79650356865776184</v>
      </c>
      <c r="AH106" s="85"/>
      <c r="AI106" s="86">
        <f t="shared" si="132"/>
        <v>0.79650356865776184</v>
      </c>
      <c r="AJ106" s="95"/>
      <c r="AK106" s="96">
        <f t="shared" si="133"/>
        <v>0</v>
      </c>
      <c r="AL106" s="94">
        <f t="shared" si="134"/>
        <v>0</v>
      </c>
      <c r="AM106" s="94">
        <f t="shared" si="135"/>
        <v>72</v>
      </c>
      <c r="AN106" s="94">
        <f t="shared" si="136"/>
        <v>0</v>
      </c>
      <c r="AO106" s="97">
        <f t="shared" si="137"/>
        <v>72</v>
      </c>
      <c r="AP106" s="87"/>
      <c r="AQ106" s="28">
        <f t="shared" si="138"/>
        <v>0</v>
      </c>
      <c r="AR106" s="29">
        <f t="shared" si="139"/>
        <v>0</v>
      </c>
    </row>
    <row r="107" spans="1:44" s="90" customFormat="1" x14ac:dyDescent="0.25">
      <c r="A107" s="123">
        <f t="shared" ref="A107:A111" si="140">+A106+1</f>
        <v>50</v>
      </c>
      <c r="B107" s="79">
        <f t="shared" ref="B107:B111" si="141">+B106+0.01</f>
        <v>6.0299999999999994</v>
      </c>
      <c r="C107" s="220" t="s">
        <v>134</v>
      </c>
      <c r="D107" s="221" t="s">
        <v>64</v>
      </c>
      <c r="E107" s="90" t="s">
        <v>167</v>
      </c>
      <c r="F107" s="220" t="s">
        <v>36</v>
      </c>
      <c r="G107" s="82"/>
      <c r="H107" s="82"/>
      <c r="I107" s="82"/>
      <c r="J107" s="82"/>
      <c r="K107" s="82"/>
      <c r="L107" s="82"/>
      <c r="M107" s="82"/>
      <c r="N107" s="82"/>
      <c r="O107" s="82"/>
      <c r="P107" s="82">
        <v>1</v>
      </c>
      <c r="Q107" s="82"/>
      <c r="R107" s="82"/>
      <c r="S107" s="82">
        <v>6</v>
      </c>
      <c r="T107" s="82">
        <v>2</v>
      </c>
      <c r="U107" s="82">
        <v>4</v>
      </c>
      <c r="V107" s="82">
        <v>22</v>
      </c>
      <c r="W107" s="82">
        <v>22</v>
      </c>
      <c r="X107" s="82">
        <v>1</v>
      </c>
      <c r="Y107" s="82">
        <v>3</v>
      </c>
      <c r="Z107" s="82"/>
      <c r="AA107" s="82"/>
      <c r="AB107" s="82">
        <v>2</v>
      </c>
      <c r="AC107" s="82">
        <v>4</v>
      </c>
      <c r="AD107" s="82">
        <f t="shared" si="130"/>
        <v>67</v>
      </c>
      <c r="AE107" s="83" t="s">
        <v>35</v>
      </c>
      <c r="AF107" s="66"/>
      <c r="AG107" s="84">
        <f t="shared" si="131"/>
        <v>0.64527708745886836</v>
      </c>
      <c r="AH107" s="85">
        <f t="shared" ref="AH107" si="142">CORREL(L107:U107,L$10:U$10)</f>
        <v>0.95725551401475784</v>
      </c>
      <c r="AI107" s="86">
        <f t="shared" si="132"/>
        <v>0.50495896143611885</v>
      </c>
      <c r="AJ107" s="95"/>
      <c r="AK107" s="96">
        <f t="shared" si="133"/>
        <v>0</v>
      </c>
      <c r="AL107" s="94">
        <f t="shared" si="134"/>
        <v>13</v>
      </c>
      <c r="AM107" s="94">
        <f t="shared" si="135"/>
        <v>48</v>
      </c>
      <c r="AN107" s="94">
        <f t="shared" si="136"/>
        <v>6</v>
      </c>
      <c r="AO107" s="97">
        <f t="shared" si="137"/>
        <v>67</v>
      </c>
      <c r="AP107" s="87"/>
      <c r="AQ107" s="28">
        <f t="shared" si="138"/>
        <v>0</v>
      </c>
      <c r="AR107" s="29">
        <f t="shared" si="139"/>
        <v>0</v>
      </c>
    </row>
    <row r="108" spans="1:44" s="90" customFormat="1" x14ac:dyDescent="0.25">
      <c r="A108" s="123">
        <f t="shared" si="140"/>
        <v>51</v>
      </c>
      <c r="B108" s="79">
        <f t="shared" si="141"/>
        <v>6.0399999999999991</v>
      </c>
      <c r="C108" s="93" t="s">
        <v>13</v>
      </c>
      <c r="D108" s="111" t="s">
        <v>63</v>
      </c>
      <c r="E108" s="90" t="s">
        <v>162</v>
      </c>
      <c r="F108" s="93" t="s">
        <v>36</v>
      </c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>
        <v>1</v>
      </c>
      <c r="R108" s="82"/>
      <c r="S108" s="82"/>
      <c r="T108" s="82">
        <v>1</v>
      </c>
      <c r="U108" s="82"/>
      <c r="V108" s="82">
        <v>8</v>
      </c>
      <c r="W108" s="82">
        <v>27</v>
      </c>
      <c r="X108" s="82">
        <v>3</v>
      </c>
      <c r="Y108" s="82">
        <v>16</v>
      </c>
      <c r="Z108" s="82"/>
      <c r="AA108" s="82"/>
      <c r="AB108" s="82">
        <v>1</v>
      </c>
      <c r="AC108" s="82">
        <v>5</v>
      </c>
      <c r="AD108" s="82">
        <f t="shared" si="130"/>
        <v>62</v>
      </c>
      <c r="AE108" s="83" t="s">
        <v>39</v>
      </c>
      <c r="AF108" s="66"/>
      <c r="AG108" s="84">
        <f t="shared" si="131"/>
        <v>0.98941012964133812</v>
      </c>
      <c r="AH108" s="85"/>
      <c r="AI108" s="86">
        <f t="shared" si="132"/>
        <v>0.9901957293845367</v>
      </c>
      <c r="AJ108" s="95"/>
      <c r="AK108" s="96">
        <f t="shared" si="133"/>
        <v>0</v>
      </c>
      <c r="AL108" s="94">
        <f t="shared" si="134"/>
        <v>2</v>
      </c>
      <c r="AM108" s="94">
        <f t="shared" si="135"/>
        <v>54</v>
      </c>
      <c r="AN108" s="94">
        <f t="shared" si="136"/>
        <v>6</v>
      </c>
      <c r="AO108" s="97">
        <f t="shared" si="137"/>
        <v>62</v>
      </c>
      <c r="AP108" s="87"/>
      <c r="AQ108" s="28">
        <f t="shared" si="138"/>
        <v>0</v>
      </c>
      <c r="AR108" s="29">
        <f t="shared" si="139"/>
        <v>0.5</v>
      </c>
    </row>
    <row r="109" spans="1:44" s="90" customFormat="1" x14ac:dyDescent="0.25">
      <c r="A109" s="123">
        <f t="shared" si="140"/>
        <v>52</v>
      </c>
      <c r="B109" s="79">
        <f t="shared" si="141"/>
        <v>6.0499999999999989</v>
      </c>
      <c r="C109" s="93" t="s">
        <v>7</v>
      </c>
      <c r="D109" s="111" t="s">
        <v>66</v>
      </c>
      <c r="E109" s="90" t="s">
        <v>165</v>
      </c>
      <c r="F109" s="93" t="s">
        <v>36</v>
      </c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>
        <v>2</v>
      </c>
      <c r="T109" s="82"/>
      <c r="U109" s="82"/>
      <c r="V109" s="82">
        <v>2</v>
      </c>
      <c r="W109" s="82">
        <v>10</v>
      </c>
      <c r="X109" s="82"/>
      <c r="Y109" s="82">
        <v>4</v>
      </c>
      <c r="Z109" s="82"/>
      <c r="AA109" s="82"/>
      <c r="AB109" s="82"/>
      <c r="AC109" s="82"/>
      <c r="AD109" s="82">
        <f t="shared" si="130"/>
        <v>18</v>
      </c>
      <c r="AE109" s="83" t="s">
        <v>40</v>
      </c>
      <c r="AF109" s="66"/>
      <c r="AG109" s="84">
        <f t="shared" si="131"/>
        <v>0.98295670505495258</v>
      </c>
      <c r="AH109" s="85"/>
      <c r="AI109" s="86">
        <f t="shared" si="132"/>
        <v>0.99769039393350034</v>
      </c>
      <c r="AJ109" s="95"/>
      <c r="AK109" s="96">
        <f t="shared" si="133"/>
        <v>0</v>
      </c>
      <c r="AL109" s="94">
        <f t="shared" si="134"/>
        <v>2</v>
      </c>
      <c r="AM109" s="94">
        <f t="shared" si="135"/>
        <v>16</v>
      </c>
      <c r="AN109" s="94">
        <f t="shared" si="136"/>
        <v>0</v>
      </c>
      <c r="AO109" s="97">
        <f t="shared" si="137"/>
        <v>18</v>
      </c>
      <c r="AP109" s="87"/>
      <c r="AQ109" s="28">
        <f t="shared" si="138"/>
        <v>0</v>
      </c>
      <c r="AR109" s="29">
        <f t="shared" si="139"/>
        <v>0</v>
      </c>
    </row>
    <row r="110" spans="1:44" s="90" customFormat="1" x14ac:dyDescent="0.25">
      <c r="A110" s="123">
        <f t="shared" si="140"/>
        <v>53</v>
      </c>
      <c r="B110" s="79">
        <f t="shared" si="141"/>
        <v>6.0599999999999987</v>
      </c>
      <c r="C110" s="93" t="s">
        <v>3</v>
      </c>
      <c r="D110" s="111" t="s">
        <v>60</v>
      </c>
      <c r="E110" s="90" t="s">
        <v>160</v>
      </c>
      <c r="F110" s="93" t="s">
        <v>36</v>
      </c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>
        <v>1</v>
      </c>
      <c r="T110" s="82"/>
      <c r="U110" s="82"/>
      <c r="V110" s="82">
        <v>2</v>
      </c>
      <c r="W110" s="82">
        <v>7</v>
      </c>
      <c r="X110" s="82"/>
      <c r="Y110" s="82">
        <v>2</v>
      </c>
      <c r="Z110" s="82"/>
      <c r="AA110" s="82"/>
      <c r="AB110" s="82"/>
      <c r="AC110" s="82"/>
      <c r="AD110" s="82">
        <f t="shared" si="130"/>
        <v>12</v>
      </c>
      <c r="AE110" s="83" t="s">
        <v>40</v>
      </c>
      <c r="AF110" s="66"/>
      <c r="AG110" s="84">
        <f t="shared" si="131"/>
        <v>0.93306632199670336</v>
      </c>
      <c r="AH110" s="85"/>
      <c r="AI110" s="86">
        <f t="shared" si="132"/>
        <v>0.95216816527803283</v>
      </c>
      <c r="AJ110" s="95"/>
      <c r="AK110" s="96">
        <f t="shared" si="133"/>
        <v>0</v>
      </c>
      <c r="AL110" s="94">
        <f t="shared" si="134"/>
        <v>1</v>
      </c>
      <c r="AM110" s="94">
        <f t="shared" si="135"/>
        <v>11</v>
      </c>
      <c r="AN110" s="94">
        <f t="shared" si="136"/>
        <v>0</v>
      </c>
      <c r="AO110" s="97">
        <f t="shared" si="137"/>
        <v>12</v>
      </c>
      <c r="AP110" s="87"/>
      <c r="AQ110" s="28">
        <f t="shared" si="138"/>
        <v>0</v>
      </c>
      <c r="AR110" s="29">
        <f t="shared" si="139"/>
        <v>0</v>
      </c>
    </row>
    <row r="111" spans="1:44" s="90" customFormat="1" x14ac:dyDescent="0.25">
      <c r="A111" s="123">
        <f t="shared" si="140"/>
        <v>54</v>
      </c>
      <c r="B111" s="79">
        <f t="shared" si="141"/>
        <v>6.0699999999999985</v>
      </c>
      <c r="C111" s="93" t="s">
        <v>76</v>
      </c>
      <c r="D111" s="111" t="s">
        <v>65</v>
      </c>
      <c r="E111" s="90" t="s">
        <v>166</v>
      </c>
      <c r="F111" s="93" t="s">
        <v>36</v>
      </c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>
        <v>1</v>
      </c>
      <c r="V111" s="82"/>
      <c r="W111" s="82">
        <v>5</v>
      </c>
      <c r="X111" s="82"/>
      <c r="Y111" s="82">
        <v>1</v>
      </c>
      <c r="Z111" s="82"/>
      <c r="AA111" s="82"/>
      <c r="AB111" s="82"/>
      <c r="AC111" s="82"/>
      <c r="AD111" s="82">
        <f t="shared" si="130"/>
        <v>7</v>
      </c>
      <c r="AE111" s="83" t="s">
        <v>46</v>
      </c>
      <c r="AF111" s="66"/>
      <c r="AG111" s="84">
        <f t="shared" si="131"/>
        <v>0.92988782509876189</v>
      </c>
      <c r="AH111" s="85"/>
      <c r="AI111" s="86">
        <f t="shared" si="132"/>
        <v>1</v>
      </c>
      <c r="AJ111" s="95"/>
      <c r="AK111" s="96">
        <f t="shared" si="133"/>
        <v>0</v>
      </c>
      <c r="AL111" s="94">
        <f t="shared" si="134"/>
        <v>1</v>
      </c>
      <c r="AM111" s="94">
        <f t="shared" si="135"/>
        <v>6</v>
      </c>
      <c r="AN111" s="94">
        <f t="shared" si="136"/>
        <v>0</v>
      </c>
      <c r="AO111" s="97">
        <f t="shared" si="137"/>
        <v>7</v>
      </c>
      <c r="AP111" s="87"/>
      <c r="AQ111" s="28">
        <f t="shared" si="138"/>
        <v>0</v>
      </c>
      <c r="AR111" s="29">
        <f t="shared" si="139"/>
        <v>0</v>
      </c>
    </row>
    <row r="112" spans="1:44" s="90" customFormat="1" ht="15.75" thickBot="1" x14ac:dyDescent="0.25">
      <c r="A112" s="91"/>
      <c r="B112" s="91"/>
      <c r="C112" s="125" t="s">
        <v>230</v>
      </c>
      <c r="D112" s="111"/>
      <c r="F112" s="93"/>
      <c r="G112" s="126">
        <f t="shared" ref="G112:AD112" si="143">SUM(G105:G111)</f>
        <v>0</v>
      </c>
      <c r="H112" s="126">
        <f t="shared" si="143"/>
        <v>0</v>
      </c>
      <c r="I112" s="126">
        <f t="shared" si="143"/>
        <v>0</v>
      </c>
      <c r="J112" s="126">
        <f t="shared" si="143"/>
        <v>0</v>
      </c>
      <c r="K112" s="126">
        <f t="shared" si="143"/>
        <v>0</v>
      </c>
      <c r="L112" s="126">
        <f t="shared" si="143"/>
        <v>2</v>
      </c>
      <c r="M112" s="126">
        <f t="shared" si="143"/>
        <v>1</v>
      </c>
      <c r="N112" s="126">
        <f t="shared" si="143"/>
        <v>5</v>
      </c>
      <c r="O112" s="126">
        <f t="shared" si="143"/>
        <v>0</v>
      </c>
      <c r="P112" s="126">
        <f t="shared" si="143"/>
        <v>2</v>
      </c>
      <c r="Q112" s="126">
        <f t="shared" si="143"/>
        <v>9</v>
      </c>
      <c r="R112" s="126">
        <f t="shared" si="143"/>
        <v>2</v>
      </c>
      <c r="S112" s="126">
        <f t="shared" si="143"/>
        <v>21</v>
      </c>
      <c r="T112" s="126">
        <f t="shared" si="143"/>
        <v>8</v>
      </c>
      <c r="U112" s="126">
        <f t="shared" si="143"/>
        <v>18</v>
      </c>
      <c r="V112" s="126">
        <f t="shared" si="143"/>
        <v>48</v>
      </c>
      <c r="W112" s="126">
        <f t="shared" si="143"/>
        <v>166</v>
      </c>
      <c r="X112" s="126">
        <f t="shared" si="143"/>
        <v>8</v>
      </c>
      <c r="Y112" s="126">
        <f t="shared" si="143"/>
        <v>81</v>
      </c>
      <c r="Z112" s="126">
        <f t="shared" si="143"/>
        <v>0</v>
      </c>
      <c r="AA112" s="126">
        <f t="shared" si="143"/>
        <v>0</v>
      </c>
      <c r="AB112" s="126">
        <f t="shared" si="143"/>
        <v>3</v>
      </c>
      <c r="AC112" s="126">
        <f t="shared" si="143"/>
        <v>9</v>
      </c>
      <c r="AD112" s="126">
        <f t="shared" si="143"/>
        <v>383</v>
      </c>
      <c r="AE112" s="83"/>
      <c r="AF112" s="66"/>
      <c r="AG112" s="127">
        <f t="shared" ref="AG112" si="144">CORREL(L112:Y112,L$10:Y$10)</f>
        <v>0.96624965512509753</v>
      </c>
      <c r="AH112" s="128">
        <f t="shared" si="113"/>
        <v>0.82492390186193032</v>
      </c>
      <c r="AI112" s="129">
        <f t="shared" ref="AI112" si="145">CORREL(V112:Y112,V$10:Y$10)</f>
        <v>0.9937099802796111</v>
      </c>
      <c r="AJ112" s="130"/>
      <c r="AK112" s="131">
        <f t="shared" ref="AK112" si="146">SUM(G112:K112)</f>
        <v>0</v>
      </c>
      <c r="AL112" s="126">
        <f t="shared" ref="AL112" si="147">SUM(L112:U112)</f>
        <v>68</v>
      </c>
      <c r="AM112" s="126">
        <f t="shared" ref="AM112" si="148">SUM(V112:Y112)</f>
        <v>303</v>
      </c>
      <c r="AN112" s="126">
        <f t="shared" ref="AN112" si="149">SUM(Z112:AC112)</f>
        <v>12</v>
      </c>
      <c r="AO112" s="132">
        <f t="shared" ref="AO112" si="150">SUM(AK112:AN112)</f>
        <v>383</v>
      </c>
      <c r="AP112" s="87"/>
      <c r="AQ112" s="133">
        <f t="shared" ref="AQ112" si="151">IF(SUM(M112:O112)=0,0,SUM(M112:O112)/SUM(L112:O112))</f>
        <v>0.75</v>
      </c>
      <c r="AR112" s="134">
        <f t="shared" ref="AR112" si="152">IF(SUM(Q112:R112)=0,0,SUM(Q112:R112)/SUM(P112:U112))</f>
        <v>0.18333333333333332</v>
      </c>
    </row>
    <row r="113" spans="1:44" s="90" customFormat="1" ht="15.75" thickTop="1" x14ac:dyDescent="0.25">
      <c r="A113" s="91"/>
      <c r="B113" s="91"/>
      <c r="C113" s="175"/>
      <c r="D113" s="111"/>
      <c r="F113" s="93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83"/>
      <c r="AF113" s="66"/>
      <c r="AG113" s="84"/>
      <c r="AH113" s="85"/>
      <c r="AI113" s="86"/>
      <c r="AJ113" s="95"/>
      <c r="AK113" s="96"/>
      <c r="AL113" s="94"/>
      <c r="AM113" s="94"/>
      <c r="AN113" s="94"/>
      <c r="AO113" s="97"/>
      <c r="AP113" s="87"/>
      <c r="AQ113" s="28"/>
      <c r="AR113" s="29"/>
    </row>
    <row r="114" spans="1:44" s="90" customFormat="1" x14ac:dyDescent="0.25">
      <c r="A114" s="91"/>
      <c r="B114" s="91"/>
      <c r="C114" s="122" t="s">
        <v>265</v>
      </c>
      <c r="D114" s="111"/>
      <c r="F114" s="93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83"/>
      <c r="AF114" s="66"/>
      <c r="AG114" s="84"/>
      <c r="AH114" s="85"/>
      <c r="AI114" s="86"/>
      <c r="AJ114" s="95"/>
      <c r="AK114" s="96"/>
      <c r="AL114" s="94"/>
      <c r="AM114" s="94"/>
      <c r="AN114" s="94"/>
      <c r="AO114" s="97"/>
      <c r="AP114" s="87"/>
      <c r="AQ114" s="28"/>
      <c r="AR114" s="29"/>
    </row>
    <row r="115" spans="1:44" s="90" customFormat="1" x14ac:dyDescent="0.25">
      <c r="A115" s="123">
        <f>+A111+1</f>
        <v>55</v>
      </c>
      <c r="B115" s="79">
        <f>+B111+0.01</f>
        <v>6.0799999999999983</v>
      </c>
      <c r="C115" s="93" t="s">
        <v>14</v>
      </c>
      <c r="D115" s="111" t="s">
        <v>66</v>
      </c>
      <c r="E115" s="90" t="s">
        <v>163</v>
      </c>
      <c r="F115" s="93" t="s">
        <v>79</v>
      </c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>
        <v>1</v>
      </c>
      <c r="U115" s="82">
        <v>4</v>
      </c>
      <c r="V115" s="82">
        <f>163+63</f>
        <v>226</v>
      </c>
      <c r="W115" s="82">
        <f>165+392+37+80+4</f>
        <v>678</v>
      </c>
      <c r="X115" s="82"/>
      <c r="Y115" s="82">
        <v>33</v>
      </c>
      <c r="Z115" s="82"/>
      <c r="AA115" s="82"/>
      <c r="AB115" s="82"/>
      <c r="AC115" s="82"/>
      <c r="AD115" s="82">
        <f>SUM(G115:AC115)</f>
        <v>942</v>
      </c>
      <c r="AE115" s="83" t="s">
        <v>42</v>
      </c>
      <c r="AF115" s="66" t="s">
        <v>203</v>
      </c>
      <c r="AG115" s="84">
        <f t="shared" ref="AG115:AG120" si="153">CORREL(L115:Y115,L$10:Y$10)</f>
        <v>0.88390149892709546</v>
      </c>
      <c r="AH115" s="85">
        <f>CORREL(L115:U115,L$10:U$10)</f>
        <v>1</v>
      </c>
      <c r="AI115" s="86">
        <f t="shared" ref="AI115:AI120" si="154">CORREL(V115:Y115,V$10:Y$10)</f>
        <v>0.82174502109538694</v>
      </c>
      <c r="AJ115" s="95"/>
      <c r="AK115" s="96">
        <f>SUM(G115:K115)</f>
        <v>0</v>
      </c>
      <c r="AL115" s="94">
        <f>SUM(L115:U115)</f>
        <v>5</v>
      </c>
      <c r="AM115" s="94">
        <f>SUM(V115:Y115)</f>
        <v>937</v>
      </c>
      <c r="AN115" s="94">
        <f>SUM(Z115:AC115)</f>
        <v>0</v>
      </c>
      <c r="AO115" s="97">
        <f>SUM(AK115:AN115)</f>
        <v>942</v>
      </c>
      <c r="AP115" s="87"/>
      <c r="AQ115" s="28">
        <f>IF(SUM(M115:O115)=0,0,SUM(M115:O115)/SUM(L115:O115))</f>
        <v>0</v>
      </c>
      <c r="AR115" s="29">
        <f>IF(SUM(Q115:R115)=0,0,SUM(Q115:R115)/SUM(P115:U115))</f>
        <v>0</v>
      </c>
    </row>
    <row r="116" spans="1:44" s="90" customFormat="1" x14ac:dyDescent="0.25">
      <c r="A116" s="222">
        <f>+A115+1</f>
        <v>56</v>
      </c>
      <c r="B116" s="91">
        <f>+B115+0.01</f>
        <v>6.0899999999999981</v>
      </c>
      <c r="C116" s="93" t="s">
        <v>75</v>
      </c>
      <c r="D116" s="111" t="s">
        <v>63</v>
      </c>
      <c r="E116" s="90" t="s">
        <v>164</v>
      </c>
      <c r="F116" s="93" t="s">
        <v>80</v>
      </c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>
        <v>522</v>
      </c>
      <c r="X116" s="82">
        <v>22</v>
      </c>
      <c r="Y116" s="82"/>
      <c r="Z116" s="82"/>
      <c r="AA116" s="82"/>
      <c r="AB116" s="82"/>
      <c r="AC116" s="82"/>
      <c r="AD116" s="82">
        <f>SUM(G116:AC116)</f>
        <v>544</v>
      </c>
      <c r="AE116" s="83">
        <v>1</v>
      </c>
      <c r="AF116" s="66" t="s">
        <v>202</v>
      </c>
      <c r="AG116" s="84">
        <f t="shared" si="153"/>
        <v>1</v>
      </c>
      <c r="AH116" s="85"/>
      <c r="AI116" s="86">
        <f t="shared" si="154"/>
        <v>1</v>
      </c>
      <c r="AJ116" s="95"/>
      <c r="AK116" s="96">
        <f>SUM(G116:K116)</f>
        <v>0</v>
      </c>
      <c r="AL116" s="94">
        <f>SUM(L116:U116)</f>
        <v>0</v>
      </c>
      <c r="AM116" s="94">
        <f>SUM(V116:Y116)</f>
        <v>544</v>
      </c>
      <c r="AN116" s="94">
        <f>SUM(Z116:AC116)</f>
        <v>0</v>
      </c>
      <c r="AO116" s="97">
        <f>SUM(AK116:AN116)</f>
        <v>544</v>
      </c>
      <c r="AP116" s="87"/>
      <c r="AQ116" s="28">
        <f>IF(SUM(M116:O116)=0,0,SUM(M116:O116)/SUM(L116:O116))</f>
        <v>0</v>
      </c>
      <c r="AR116" s="29">
        <f>IF(SUM(Q116:R116)=0,0,SUM(Q116:R116)/SUM(P116:U116))</f>
        <v>0</v>
      </c>
    </row>
    <row r="117" spans="1:44" s="90" customFormat="1" x14ac:dyDescent="0.25">
      <c r="A117" s="123">
        <f>+A116+1</f>
        <v>57</v>
      </c>
      <c r="B117" s="79">
        <f>+B116+0.01</f>
        <v>6.0999999999999979</v>
      </c>
      <c r="C117" s="93" t="s">
        <v>12</v>
      </c>
      <c r="D117" s="111" t="s">
        <v>66</v>
      </c>
      <c r="E117" s="90" t="s">
        <v>161</v>
      </c>
      <c r="F117" s="93" t="s">
        <v>182</v>
      </c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>
        <v>1</v>
      </c>
      <c r="W117" s="82">
        <v>163</v>
      </c>
      <c r="X117" s="82">
        <v>19</v>
      </c>
      <c r="Y117" s="82">
        <v>129</v>
      </c>
      <c r="Z117" s="82"/>
      <c r="AA117" s="82"/>
      <c r="AB117" s="82"/>
      <c r="AC117" s="82"/>
      <c r="AD117" s="82">
        <f>SUM(G117:AC117)</f>
        <v>312</v>
      </c>
      <c r="AE117" s="83" t="s">
        <v>58</v>
      </c>
      <c r="AF117" s="66" t="s">
        <v>204</v>
      </c>
      <c r="AG117" s="84">
        <f t="shared" si="153"/>
        <v>0.89444940413693075</v>
      </c>
      <c r="AH117" s="85"/>
      <c r="AI117" s="86">
        <f t="shared" si="154"/>
        <v>0.89444940413693075</v>
      </c>
      <c r="AJ117" s="95"/>
      <c r="AK117" s="96">
        <f>SUM(G117:K117)</f>
        <v>0</v>
      </c>
      <c r="AL117" s="94">
        <f>SUM(L117:U117)</f>
        <v>0</v>
      </c>
      <c r="AM117" s="94">
        <f>SUM(V117:Y117)</f>
        <v>312</v>
      </c>
      <c r="AN117" s="94">
        <f>SUM(Z117:AC117)</f>
        <v>0</v>
      </c>
      <c r="AO117" s="97">
        <f>SUM(AK117:AN117)</f>
        <v>312</v>
      </c>
      <c r="AP117" s="87"/>
      <c r="AQ117" s="28">
        <f>IF(SUM(M117:O117)=0,0,SUM(M117:O117)/SUM(L117:O117))</f>
        <v>0</v>
      </c>
      <c r="AR117" s="29">
        <f>IF(SUM(Q117:R117)=0,0,SUM(Q117:R117)/SUM(P117:U117))</f>
        <v>0</v>
      </c>
    </row>
    <row r="118" spans="1:44" s="90" customFormat="1" x14ac:dyDescent="0.25">
      <c r="A118" s="123">
        <f>+A117+1</f>
        <v>58</v>
      </c>
      <c r="B118" s="79">
        <f>+B117+0.01</f>
        <v>6.1099999999999977</v>
      </c>
      <c r="C118" s="93" t="s">
        <v>11</v>
      </c>
      <c r="D118" s="111" t="s">
        <v>61</v>
      </c>
      <c r="E118" s="90" t="s">
        <v>171</v>
      </c>
      <c r="F118" s="93" t="s">
        <v>240</v>
      </c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>
        <v>17</v>
      </c>
      <c r="X118" s="82"/>
      <c r="Y118" s="82">
        <v>5</v>
      </c>
      <c r="Z118" s="82"/>
      <c r="AA118" s="82"/>
      <c r="AB118" s="82"/>
      <c r="AC118" s="82"/>
      <c r="AD118" s="82">
        <f>SUM(G118:AC118)</f>
        <v>22</v>
      </c>
      <c r="AE118" s="83" t="s">
        <v>249</v>
      </c>
      <c r="AF118" s="66"/>
      <c r="AG118" s="84">
        <f t="shared" si="153"/>
        <v>1</v>
      </c>
      <c r="AH118" s="85"/>
      <c r="AI118" s="86">
        <f t="shared" si="154"/>
        <v>1</v>
      </c>
      <c r="AJ118" s="95"/>
      <c r="AK118" s="138">
        <f>SUM(G118:K118)</f>
        <v>0</v>
      </c>
      <c r="AL118" s="139">
        <f>SUM(L118:U118)</f>
        <v>0</v>
      </c>
      <c r="AM118" s="139">
        <f>SUM(V118:Y118)</f>
        <v>22</v>
      </c>
      <c r="AN118" s="139">
        <f>SUM(Z118:AC118)</f>
        <v>0</v>
      </c>
      <c r="AO118" s="140">
        <f>SUM(AK118:AN118)</f>
        <v>22</v>
      </c>
      <c r="AP118" s="87"/>
      <c r="AQ118" s="28">
        <f>IF(SUM(M118:O118)=0,0,SUM(M118:O118)/SUM(L118:O118))</f>
        <v>0</v>
      </c>
      <c r="AR118" s="29">
        <f>IF(SUM(Q118:R118)=0,0,SUM(Q118:R118)/SUM(P118:U118))</f>
        <v>0</v>
      </c>
    </row>
    <row r="119" spans="1:44" s="90" customFormat="1" ht="15.75" thickBot="1" x14ac:dyDescent="0.25">
      <c r="A119" s="79"/>
      <c r="B119" s="79"/>
      <c r="C119" s="125" t="s">
        <v>232</v>
      </c>
      <c r="D119" s="111"/>
      <c r="E119" s="111"/>
      <c r="F119" s="93"/>
      <c r="G119" s="126">
        <f>SUM(G115:G118)</f>
        <v>0</v>
      </c>
      <c r="H119" s="126">
        <f t="shared" ref="H119:AD119" si="155">SUM(H115:H118)</f>
        <v>0</v>
      </c>
      <c r="I119" s="126">
        <f t="shared" si="155"/>
        <v>0</v>
      </c>
      <c r="J119" s="126">
        <f t="shared" si="155"/>
        <v>0</v>
      </c>
      <c r="K119" s="126">
        <f t="shared" si="155"/>
        <v>0</v>
      </c>
      <c r="L119" s="126">
        <f t="shared" si="155"/>
        <v>0</v>
      </c>
      <c r="M119" s="126">
        <f t="shared" si="155"/>
        <v>0</v>
      </c>
      <c r="N119" s="126">
        <f t="shared" si="155"/>
        <v>0</v>
      </c>
      <c r="O119" s="126">
        <f t="shared" si="155"/>
        <v>0</v>
      </c>
      <c r="P119" s="126">
        <f t="shared" si="155"/>
        <v>0</v>
      </c>
      <c r="Q119" s="126">
        <f t="shared" si="155"/>
        <v>0</v>
      </c>
      <c r="R119" s="126">
        <f t="shared" si="155"/>
        <v>0</v>
      </c>
      <c r="S119" s="126">
        <f t="shared" si="155"/>
        <v>0</v>
      </c>
      <c r="T119" s="126">
        <f t="shared" si="155"/>
        <v>1</v>
      </c>
      <c r="U119" s="126">
        <f t="shared" si="155"/>
        <v>4</v>
      </c>
      <c r="V119" s="126">
        <f t="shared" si="155"/>
        <v>227</v>
      </c>
      <c r="W119" s="126">
        <f t="shared" si="155"/>
        <v>1380</v>
      </c>
      <c r="X119" s="126">
        <f t="shared" si="155"/>
        <v>41</v>
      </c>
      <c r="Y119" s="126">
        <f t="shared" si="155"/>
        <v>167</v>
      </c>
      <c r="Z119" s="126">
        <f t="shared" si="155"/>
        <v>0</v>
      </c>
      <c r="AA119" s="126">
        <f t="shared" si="155"/>
        <v>0</v>
      </c>
      <c r="AB119" s="126">
        <f t="shared" si="155"/>
        <v>0</v>
      </c>
      <c r="AC119" s="126">
        <f t="shared" si="155"/>
        <v>0</v>
      </c>
      <c r="AD119" s="126">
        <f t="shared" si="155"/>
        <v>1820</v>
      </c>
      <c r="AE119" s="83"/>
      <c r="AF119" s="66"/>
      <c r="AG119" s="127">
        <f t="shared" si="153"/>
        <v>0.9078633080877182</v>
      </c>
      <c r="AH119" s="128">
        <f t="shared" si="113"/>
        <v>0.13409266721062715</v>
      </c>
      <c r="AI119" s="129">
        <f t="shared" si="154"/>
        <v>0.94034706414098435</v>
      </c>
      <c r="AJ119" s="130"/>
      <c r="AK119" s="223">
        <f>SUM(AK115:AK118)</f>
        <v>0</v>
      </c>
      <c r="AL119" s="224">
        <f>SUM(AL115:AL118)</f>
        <v>5</v>
      </c>
      <c r="AM119" s="224">
        <f t="shared" ref="AM119:AN119" si="156">SUM(AM115:AM118)</f>
        <v>1815</v>
      </c>
      <c r="AN119" s="224">
        <f t="shared" si="156"/>
        <v>0</v>
      </c>
      <c r="AO119" s="225">
        <f>SUM(AO115:AO118)</f>
        <v>1820</v>
      </c>
      <c r="AP119" s="87"/>
      <c r="AQ119" s="226">
        <f t="shared" ref="AQ119:AQ120" si="157">IF(SUM(M119:O119)=0,0,SUM(M119:O119)/SUM(L119:O119))</f>
        <v>0</v>
      </c>
      <c r="AR119" s="227">
        <f t="shared" ref="AR119:AR120" si="158">IF(SUM(Q119:R119)=0,0,SUM(Q119:R119)/SUM(P119:U119))</f>
        <v>0</v>
      </c>
    </row>
    <row r="120" spans="1:44" s="90" customFormat="1" ht="16.5" thickTop="1" thickBot="1" x14ac:dyDescent="0.25">
      <c r="A120" s="79"/>
      <c r="B120" s="79"/>
      <c r="C120" s="125" t="s">
        <v>246</v>
      </c>
      <c r="D120" s="111"/>
      <c r="E120" s="111"/>
      <c r="F120" s="93"/>
      <c r="G120" s="147">
        <f>+G119+G112</f>
        <v>0</v>
      </c>
      <c r="H120" s="147">
        <f t="shared" ref="H120:AD120" si="159">+H119+H112</f>
        <v>0</v>
      </c>
      <c r="I120" s="147">
        <f t="shared" si="159"/>
        <v>0</v>
      </c>
      <c r="J120" s="147">
        <f t="shared" si="159"/>
        <v>0</v>
      </c>
      <c r="K120" s="147">
        <f t="shared" si="159"/>
        <v>0</v>
      </c>
      <c r="L120" s="147">
        <f t="shared" si="159"/>
        <v>2</v>
      </c>
      <c r="M120" s="147">
        <f t="shared" si="159"/>
        <v>1</v>
      </c>
      <c r="N120" s="147">
        <f t="shared" si="159"/>
        <v>5</v>
      </c>
      <c r="O120" s="147">
        <f t="shared" si="159"/>
        <v>0</v>
      </c>
      <c r="P120" s="147">
        <f t="shared" si="159"/>
        <v>2</v>
      </c>
      <c r="Q120" s="147">
        <f t="shared" si="159"/>
        <v>9</v>
      </c>
      <c r="R120" s="147">
        <f t="shared" si="159"/>
        <v>2</v>
      </c>
      <c r="S120" s="147">
        <f t="shared" si="159"/>
        <v>21</v>
      </c>
      <c r="T120" s="147">
        <f t="shared" si="159"/>
        <v>9</v>
      </c>
      <c r="U120" s="147">
        <f t="shared" si="159"/>
        <v>22</v>
      </c>
      <c r="V120" s="147">
        <f t="shared" si="159"/>
        <v>275</v>
      </c>
      <c r="W120" s="147">
        <f t="shared" si="159"/>
        <v>1546</v>
      </c>
      <c r="X120" s="147">
        <f t="shared" si="159"/>
        <v>49</v>
      </c>
      <c r="Y120" s="147">
        <f t="shared" si="159"/>
        <v>248</v>
      </c>
      <c r="Z120" s="147">
        <f t="shared" si="159"/>
        <v>0</v>
      </c>
      <c r="AA120" s="147">
        <f t="shared" si="159"/>
        <v>0</v>
      </c>
      <c r="AB120" s="147">
        <f t="shared" si="159"/>
        <v>3</v>
      </c>
      <c r="AC120" s="147">
        <f t="shared" si="159"/>
        <v>9</v>
      </c>
      <c r="AD120" s="147">
        <f t="shared" si="159"/>
        <v>2203</v>
      </c>
      <c r="AE120" s="83"/>
      <c r="AF120" s="66"/>
      <c r="AG120" s="209">
        <f t="shared" si="153"/>
        <v>0.9200553561521273</v>
      </c>
      <c r="AH120" s="210">
        <f t="shared" si="113"/>
        <v>0.76655531382616593</v>
      </c>
      <c r="AI120" s="211">
        <f t="shared" si="154"/>
        <v>0.95160360532416521</v>
      </c>
      <c r="AJ120" s="130"/>
      <c r="AK120" s="131">
        <f>+AK119+AK112</f>
        <v>0</v>
      </c>
      <c r="AL120" s="126">
        <f>+AL119+AL112</f>
        <v>73</v>
      </c>
      <c r="AM120" s="126">
        <f t="shared" ref="AM120:AN120" si="160">+AM119+AM112</f>
        <v>2118</v>
      </c>
      <c r="AN120" s="126">
        <f t="shared" si="160"/>
        <v>12</v>
      </c>
      <c r="AO120" s="132">
        <f>+AO119+AO112</f>
        <v>2203</v>
      </c>
      <c r="AP120" s="87"/>
      <c r="AQ120" s="133">
        <f t="shared" si="157"/>
        <v>0.75</v>
      </c>
      <c r="AR120" s="134">
        <f t="shared" si="158"/>
        <v>0.16923076923076924</v>
      </c>
    </row>
    <row r="121" spans="1:44" s="90" customFormat="1" x14ac:dyDescent="0.25">
      <c r="A121" s="79"/>
      <c r="B121" s="79"/>
      <c r="C121" s="125"/>
      <c r="D121" s="111"/>
      <c r="E121" s="111"/>
      <c r="F121" s="93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3"/>
      <c r="AF121" s="66"/>
      <c r="AG121" s="84"/>
      <c r="AH121" s="85"/>
      <c r="AI121" s="86"/>
      <c r="AJ121" s="95"/>
      <c r="AK121" s="96"/>
      <c r="AL121" s="94"/>
      <c r="AM121" s="94"/>
      <c r="AN121" s="94"/>
      <c r="AO121" s="89"/>
      <c r="AP121" s="87"/>
      <c r="AQ121" s="116"/>
      <c r="AR121" s="117"/>
    </row>
    <row r="122" spans="1:44" s="90" customFormat="1" x14ac:dyDescent="0.25">
      <c r="A122" s="79"/>
      <c r="B122" s="119">
        <v>7</v>
      </c>
      <c r="C122" s="80" t="s">
        <v>237</v>
      </c>
      <c r="D122" s="81"/>
      <c r="E122" s="81"/>
      <c r="F122" s="120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3"/>
      <c r="AF122" s="66"/>
      <c r="AG122" s="84"/>
      <c r="AH122" s="85"/>
      <c r="AI122" s="86"/>
      <c r="AJ122" s="95"/>
      <c r="AK122" s="96"/>
      <c r="AL122" s="94"/>
      <c r="AM122" s="94"/>
      <c r="AN122" s="94"/>
      <c r="AO122" s="89"/>
      <c r="AP122" s="87"/>
      <c r="AQ122" s="116"/>
      <c r="AR122" s="117"/>
    </row>
    <row r="123" spans="1:44" s="90" customFormat="1" x14ac:dyDescent="0.25">
      <c r="A123" s="123">
        <f>+A118+1</f>
        <v>59</v>
      </c>
      <c r="B123" s="79">
        <f t="shared" ref="B123:B128" si="161">+B122+0.01</f>
        <v>7.01</v>
      </c>
      <c r="C123" s="184" t="s">
        <v>51</v>
      </c>
      <c r="D123" s="187" t="s">
        <v>68</v>
      </c>
      <c r="E123" s="90" t="s">
        <v>174</v>
      </c>
      <c r="F123" s="185" t="s">
        <v>36</v>
      </c>
      <c r="G123" s="98">
        <v>37</v>
      </c>
      <c r="H123" s="98">
        <v>1</v>
      </c>
      <c r="I123" s="98"/>
      <c r="J123" s="98"/>
      <c r="K123" s="98"/>
      <c r="L123" s="98">
        <v>1</v>
      </c>
      <c r="M123" s="98">
        <v>5</v>
      </c>
      <c r="N123" s="98">
        <v>7</v>
      </c>
      <c r="O123" s="98">
        <v>4</v>
      </c>
      <c r="P123" s="98">
        <v>5</v>
      </c>
      <c r="Q123" s="98">
        <v>68</v>
      </c>
      <c r="R123" s="98">
        <v>21</v>
      </c>
      <c r="S123" s="98"/>
      <c r="T123" s="98"/>
      <c r="U123" s="98"/>
      <c r="V123" s="98"/>
      <c r="W123" s="98"/>
      <c r="X123" s="98"/>
      <c r="Y123" s="98"/>
      <c r="Z123" s="98"/>
      <c r="AA123" s="98">
        <v>5</v>
      </c>
      <c r="AB123" s="98"/>
      <c r="AC123" s="98">
        <v>23</v>
      </c>
      <c r="AD123" s="98">
        <f t="shared" ref="AD123:AD128" si="162">SUM(G123:AC123)</f>
        <v>177</v>
      </c>
      <c r="AE123" s="83" t="s">
        <v>74</v>
      </c>
      <c r="AF123" s="66"/>
      <c r="AG123" s="84"/>
      <c r="AH123" s="85"/>
      <c r="AI123" s="86"/>
      <c r="AJ123" s="95"/>
      <c r="AK123" s="96">
        <f t="shared" ref="AK123:AK128" si="163">SUM(G123:K123)</f>
        <v>38</v>
      </c>
      <c r="AL123" s="94">
        <f t="shared" ref="AL123:AL128" si="164">SUM(L123:U123)</f>
        <v>111</v>
      </c>
      <c r="AM123" s="94">
        <f t="shared" ref="AM123:AM128" si="165">SUM(V123:Y123)</f>
        <v>0</v>
      </c>
      <c r="AN123" s="94">
        <f t="shared" ref="AN123:AN128" si="166">SUM(Z123:AC123)</f>
        <v>28</v>
      </c>
      <c r="AO123" s="97">
        <f t="shared" ref="AO123:AO128" si="167">SUM(AK123:AN123)</f>
        <v>177</v>
      </c>
      <c r="AP123" s="87"/>
      <c r="AQ123" s="28">
        <f t="shared" ref="AQ123:AQ128" si="168">IF(SUM(M123:O123)=0,0,SUM(M123:O123)/SUM(L123:O123))</f>
        <v>0.94117647058823528</v>
      </c>
      <c r="AR123" s="29">
        <f t="shared" ref="AR123:AR128" si="169">IF(SUM(Q123:R123)=0,0,SUM(Q123:R123)/SUM(P123:U123))</f>
        <v>0.94680851063829785</v>
      </c>
    </row>
    <row r="124" spans="1:44" s="90" customFormat="1" x14ac:dyDescent="0.25">
      <c r="A124" s="123">
        <f>+A123+1</f>
        <v>60</v>
      </c>
      <c r="B124" s="79">
        <f t="shared" si="161"/>
        <v>7.02</v>
      </c>
      <c r="C124" s="187" t="s">
        <v>52</v>
      </c>
      <c r="D124" s="187" t="s">
        <v>69</v>
      </c>
      <c r="E124" s="90" t="s">
        <v>176</v>
      </c>
      <c r="F124" s="185" t="s">
        <v>36</v>
      </c>
      <c r="G124" s="106"/>
      <c r="H124" s="106">
        <v>6</v>
      </c>
      <c r="I124" s="106">
        <v>20</v>
      </c>
      <c r="J124" s="106">
        <v>4</v>
      </c>
      <c r="K124" s="106">
        <v>1</v>
      </c>
      <c r="L124" s="106">
        <v>1</v>
      </c>
      <c r="M124" s="106">
        <v>45</v>
      </c>
      <c r="N124" s="106">
        <v>41</v>
      </c>
      <c r="O124" s="106">
        <v>1</v>
      </c>
      <c r="P124" s="106"/>
      <c r="Q124" s="106">
        <v>22</v>
      </c>
      <c r="R124" s="106">
        <v>12</v>
      </c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>
        <v>8</v>
      </c>
      <c r="AD124" s="106">
        <f t="shared" si="162"/>
        <v>161</v>
      </c>
      <c r="AE124" s="83" t="s">
        <v>74</v>
      </c>
      <c r="AF124" s="66"/>
      <c r="AG124" s="84"/>
      <c r="AH124" s="85"/>
      <c r="AI124" s="86"/>
      <c r="AJ124" s="95"/>
      <c r="AK124" s="96">
        <f t="shared" si="163"/>
        <v>31</v>
      </c>
      <c r="AL124" s="94">
        <f t="shared" si="164"/>
        <v>122</v>
      </c>
      <c r="AM124" s="94">
        <f t="shared" si="165"/>
        <v>0</v>
      </c>
      <c r="AN124" s="94">
        <f t="shared" si="166"/>
        <v>8</v>
      </c>
      <c r="AO124" s="97">
        <f t="shared" si="167"/>
        <v>161</v>
      </c>
      <c r="AP124" s="87"/>
      <c r="AQ124" s="28">
        <f t="shared" si="168"/>
        <v>0.98863636363636365</v>
      </c>
      <c r="AR124" s="29">
        <f t="shared" si="169"/>
        <v>1</v>
      </c>
    </row>
    <row r="125" spans="1:44" s="90" customFormat="1" x14ac:dyDescent="0.25">
      <c r="A125" s="123">
        <f>+A124+1</f>
        <v>61</v>
      </c>
      <c r="B125" s="79">
        <f t="shared" si="161"/>
        <v>7.0299999999999994</v>
      </c>
      <c r="C125" s="184" t="s">
        <v>53</v>
      </c>
      <c r="D125" s="187" t="s">
        <v>69</v>
      </c>
      <c r="E125" s="90" t="s">
        <v>175</v>
      </c>
      <c r="F125" s="185" t="s">
        <v>36</v>
      </c>
      <c r="G125" s="98"/>
      <c r="H125" s="98"/>
      <c r="I125" s="98">
        <v>3</v>
      </c>
      <c r="J125" s="98"/>
      <c r="K125" s="98"/>
      <c r="L125" s="98"/>
      <c r="M125" s="98">
        <v>8</v>
      </c>
      <c r="N125" s="98">
        <v>11</v>
      </c>
      <c r="O125" s="98"/>
      <c r="P125" s="98">
        <v>4</v>
      </c>
      <c r="Q125" s="98">
        <v>39</v>
      </c>
      <c r="R125" s="98">
        <v>3</v>
      </c>
      <c r="S125" s="98"/>
      <c r="T125" s="98"/>
      <c r="U125" s="98"/>
      <c r="V125" s="98"/>
      <c r="W125" s="98"/>
      <c r="X125" s="98"/>
      <c r="Y125" s="98"/>
      <c r="Z125" s="98"/>
      <c r="AA125" s="98">
        <v>4</v>
      </c>
      <c r="AB125" s="98"/>
      <c r="AC125" s="98">
        <v>20</v>
      </c>
      <c r="AD125" s="98">
        <f t="shared" si="162"/>
        <v>92</v>
      </c>
      <c r="AE125" s="83" t="s">
        <v>74</v>
      </c>
      <c r="AF125" s="66"/>
      <c r="AG125" s="84"/>
      <c r="AH125" s="85"/>
      <c r="AI125" s="86"/>
      <c r="AJ125" s="95"/>
      <c r="AK125" s="96">
        <f t="shared" si="163"/>
        <v>3</v>
      </c>
      <c r="AL125" s="94">
        <f t="shared" si="164"/>
        <v>65</v>
      </c>
      <c r="AM125" s="94">
        <f t="shared" si="165"/>
        <v>0</v>
      </c>
      <c r="AN125" s="94">
        <f t="shared" si="166"/>
        <v>24</v>
      </c>
      <c r="AO125" s="97">
        <f t="shared" si="167"/>
        <v>92</v>
      </c>
      <c r="AP125" s="87"/>
      <c r="AQ125" s="28">
        <f t="shared" si="168"/>
        <v>1</v>
      </c>
      <c r="AR125" s="29">
        <f t="shared" si="169"/>
        <v>0.91304347826086951</v>
      </c>
    </row>
    <row r="126" spans="1:44" s="90" customFormat="1" x14ac:dyDescent="0.25">
      <c r="A126" s="123">
        <f>+A125+1</f>
        <v>62</v>
      </c>
      <c r="B126" s="79">
        <f t="shared" si="161"/>
        <v>7.0399999999999991</v>
      </c>
      <c r="C126" s="184" t="s">
        <v>6</v>
      </c>
      <c r="D126" s="187" t="s">
        <v>67</v>
      </c>
      <c r="E126" s="90" t="s">
        <v>172</v>
      </c>
      <c r="F126" s="185" t="s">
        <v>36</v>
      </c>
      <c r="G126" s="98"/>
      <c r="H126" s="98"/>
      <c r="I126" s="98"/>
      <c r="J126" s="98"/>
      <c r="K126" s="98"/>
      <c r="L126" s="98"/>
      <c r="M126" s="98"/>
      <c r="N126" s="98">
        <v>6</v>
      </c>
      <c r="O126" s="98"/>
      <c r="P126" s="98">
        <v>4</v>
      </c>
      <c r="Q126" s="98">
        <v>5</v>
      </c>
      <c r="R126" s="98">
        <v>12</v>
      </c>
      <c r="S126" s="98">
        <v>2</v>
      </c>
      <c r="T126" s="98"/>
      <c r="U126" s="98"/>
      <c r="V126" s="98">
        <v>1</v>
      </c>
      <c r="W126" s="98">
        <v>8</v>
      </c>
      <c r="X126" s="98"/>
      <c r="Y126" s="98">
        <v>18</v>
      </c>
      <c r="Z126" s="98"/>
      <c r="AA126" s="98">
        <v>1</v>
      </c>
      <c r="AB126" s="98"/>
      <c r="AC126" s="98">
        <v>8</v>
      </c>
      <c r="AD126" s="98">
        <f t="shared" si="162"/>
        <v>65</v>
      </c>
      <c r="AE126" s="83" t="s">
        <v>40</v>
      </c>
      <c r="AF126" s="66" t="s">
        <v>206</v>
      </c>
      <c r="AG126" s="84">
        <f>CORREL(L126:Y126,L$10:Y$10)</f>
        <v>0.22531515293472557</v>
      </c>
      <c r="AH126" s="85">
        <f t="shared" ref="AH126" si="170">CORREL(L126:U126,L$10:U$10)</f>
        <v>-0.51782084470473355</v>
      </c>
      <c r="AI126" s="86">
        <f>CORREL(V126:Y126,V$10:Y$10)</f>
        <v>0.20748838856506935</v>
      </c>
      <c r="AJ126" s="95"/>
      <c r="AK126" s="96">
        <f t="shared" si="163"/>
        <v>0</v>
      </c>
      <c r="AL126" s="94">
        <f t="shared" si="164"/>
        <v>29</v>
      </c>
      <c r="AM126" s="94">
        <f t="shared" si="165"/>
        <v>27</v>
      </c>
      <c r="AN126" s="94">
        <f t="shared" si="166"/>
        <v>9</v>
      </c>
      <c r="AO126" s="97">
        <f t="shared" si="167"/>
        <v>65</v>
      </c>
      <c r="AP126" s="87"/>
      <c r="AQ126" s="28">
        <f t="shared" si="168"/>
        <v>1</v>
      </c>
      <c r="AR126" s="29">
        <f t="shared" si="169"/>
        <v>0.73913043478260865</v>
      </c>
    </row>
    <row r="127" spans="1:44" s="90" customFormat="1" x14ac:dyDescent="0.25">
      <c r="A127" s="123">
        <f>+A126+1</f>
        <v>63</v>
      </c>
      <c r="B127" s="79">
        <f t="shared" si="161"/>
        <v>7.0499999999999989</v>
      </c>
      <c r="C127" s="184" t="s">
        <v>123</v>
      </c>
      <c r="D127" s="187" t="s">
        <v>133</v>
      </c>
      <c r="E127" s="90" t="s">
        <v>173</v>
      </c>
      <c r="F127" s="185" t="s">
        <v>36</v>
      </c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>
        <v>1</v>
      </c>
      <c r="T127" s="98"/>
      <c r="U127" s="98"/>
      <c r="V127" s="98"/>
      <c r="W127" s="98">
        <v>23</v>
      </c>
      <c r="X127" s="98"/>
      <c r="Y127" s="98">
        <v>1</v>
      </c>
      <c r="Z127" s="98"/>
      <c r="AA127" s="98"/>
      <c r="AB127" s="98"/>
      <c r="AC127" s="98"/>
      <c r="AD127" s="98">
        <f t="shared" si="162"/>
        <v>25</v>
      </c>
      <c r="AE127" s="83" t="s">
        <v>48</v>
      </c>
      <c r="AF127" s="66"/>
      <c r="AG127" s="84">
        <f>CORREL(L127:Y127,L$10:Y$10)</f>
        <v>0.99086394545479994</v>
      </c>
      <c r="AH127" s="85"/>
      <c r="AI127" s="86">
        <f>CORREL(V127:Y127,V$10:Y$10)</f>
        <v>1</v>
      </c>
      <c r="AJ127" s="95"/>
      <c r="AK127" s="96">
        <f t="shared" si="163"/>
        <v>0</v>
      </c>
      <c r="AL127" s="94">
        <f t="shared" si="164"/>
        <v>1</v>
      </c>
      <c r="AM127" s="94">
        <f t="shared" si="165"/>
        <v>24</v>
      </c>
      <c r="AN127" s="94">
        <f t="shared" si="166"/>
        <v>0</v>
      </c>
      <c r="AO127" s="97">
        <f t="shared" si="167"/>
        <v>25</v>
      </c>
      <c r="AP127" s="87"/>
      <c r="AQ127" s="28">
        <f t="shared" si="168"/>
        <v>0</v>
      </c>
      <c r="AR127" s="29">
        <f t="shared" si="169"/>
        <v>0</v>
      </c>
    </row>
    <row r="128" spans="1:44" s="90" customFormat="1" x14ac:dyDescent="0.25">
      <c r="A128" s="123">
        <f>+A127+1</f>
        <v>64</v>
      </c>
      <c r="B128" s="79">
        <f t="shared" si="161"/>
        <v>7.0599999999999987</v>
      </c>
      <c r="C128" s="184" t="s">
        <v>15</v>
      </c>
      <c r="D128" s="187" t="s">
        <v>70</v>
      </c>
      <c r="E128" s="187"/>
      <c r="F128" s="185" t="s">
        <v>36</v>
      </c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>
        <v>1</v>
      </c>
      <c r="X128" s="228"/>
      <c r="Y128" s="228">
        <v>4</v>
      </c>
      <c r="Z128" s="228"/>
      <c r="AA128" s="228"/>
      <c r="AB128" s="228"/>
      <c r="AC128" s="228"/>
      <c r="AD128" s="228">
        <f t="shared" si="162"/>
        <v>5</v>
      </c>
      <c r="AE128" s="83" t="s">
        <v>44</v>
      </c>
      <c r="AF128" s="66"/>
      <c r="AG128" s="195">
        <f>CORREL(L128:Y128,L$10:Y$10)</f>
        <v>-1</v>
      </c>
      <c r="AH128" s="196"/>
      <c r="AI128" s="197">
        <f>CORREL(V128:Y128,V$10:Y$10)</f>
        <v>-1</v>
      </c>
      <c r="AJ128" s="95"/>
      <c r="AK128" s="96">
        <f t="shared" si="163"/>
        <v>0</v>
      </c>
      <c r="AL128" s="94">
        <f t="shared" si="164"/>
        <v>0</v>
      </c>
      <c r="AM128" s="94">
        <f t="shared" si="165"/>
        <v>5</v>
      </c>
      <c r="AN128" s="94">
        <f t="shared" si="166"/>
        <v>0</v>
      </c>
      <c r="AO128" s="97">
        <f t="shared" si="167"/>
        <v>5</v>
      </c>
      <c r="AP128" s="87"/>
      <c r="AQ128" s="28">
        <f t="shared" si="168"/>
        <v>0</v>
      </c>
      <c r="AR128" s="29">
        <f t="shared" si="169"/>
        <v>0</v>
      </c>
    </row>
    <row r="129" spans="1:44" s="90" customFormat="1" ht="15.75" thickBot="1" x14ac:dyDescent="0.25">
      <c r="A129" s="79"/>
      <c r="B129" s="79"/>
      <c r="C129" s="125" t="s">
        <v>247</v>
      </c>
      <c r="D129" s="111"/>
      <c r="E129" s="111"/>
      <c r="F129" s="120"/>
      <c r="G129" s="229">
        <f>SUM(G123:G128)</f>
        <v>37</v>
      </c>
      <c r="H129" s="229">
        <f t="shared" ref="H129:AD129" si="171">SUM(H123:H128)</f>
        <v>7</v>
      </c>
      <c r="I129" s="229">
        <f t="shared" si="171"/>
        <v>23</v>
      </c>
      <c r="J129" s="229">
        <f t="shared" si="171"/>
        <v>4</v>
      </c>
      <c r="K129" s="229">
        <f t="shared" si="171"/>
        <v>1</v>
      </c>
      <c r="L129" s="229">
        <f t="shared" si="171"/>
        <v>2</v>
      </c>
      <c r="M129" s="229">
        <f t="shared" si="171"/>
        <v>58</v>
      </c>
      <c r="N129" s="229">
        <f t="shared" si="171"/>
        <v>65</v>
      </c>
      <c r="O129" s="229">
        <f t="shared" si="171"/>
        <v>5</v>
      </c>
      <c r="P129" s="229">
        <f t="shared" si="171"/>
        <v>13</v>
      </c>
      <c r="Q129" s="229">
        <f t="shared" si="171"/>
        <v>134</v>
      </c>
      <c r="R129" s="229">
        <f t="shared" si="171"/>
        <v>48</v>
      </c>
      <c r="S129" s="229">
        <f t="shared" si="171"/>
        <v>3</v>
      </c>
      <c r="T129" s="229">
        <f t="shared" si="171"/>
        <v>0</v>
      </c>
      <c r="U129" s="229">
        <f t="shared" si="171"/>
        <v>0</v>
      </c>
      <c r="V129" s="229">
        <f t="shared" si="171"/>
        <v>1</v>
      </c>
      <c r="W129" s="229">
        <f t="shared" si="171"/>
        <v>32</v>
      </c>
      <c r="X129" s="229">
        <f t="shared" si="171"/>
        <v>0</v>
      </c>
      <c r="Y129" s="229">
        <f t="shared" si="171"/>
        <v>23</v>
      </c>
      <c r="Z129" s="229">
        <f t="shared" si="171"/>
        <v>0</v>
      </c>
      <c r="AA129" s="229">
        <f t="shared" si="171"/>
        <v>10</v>
      </c>
      <c r="AB129" s="229">
        <f t="shared" si="171"/>
        <v>0</v>
      </c>
      <c r="AC129" s="229">
        <f t="shared" si="171"/>
        <v>59</v>
      </c>
      <c r="AD129" s="229">
        <f t="shared" si="171"/>
        <v>525</v>
      </c>
      <c r="AE129" s="83"/>
      <c r="AF129" s="66"/>
      <c r="AG129" s="200"/>
      <c r="AH129" s="201"/>
      <c r="AI129" s="150">
        <f t="shared" ref="AI129" si="172">CORREL(V129:Y129,V$10:Y$10)</f>
        <v>0.93436958330606101</v>
      </c>
      <c r="AJ129" s="130"/>
      <c r="AK129" s="131">
        <f>SUM(AK123:AK128)</f>
        <v>72</v>
      </c>
      <c r="AL129" s="126">
        <f>SUM(AL123:AL128)</f>
        <v>328</v>
      </c>
      <c r="AM129" s="126">
        <f t="shared" ref="AM129:AN129" si="173">SUM(AM123:AM128)</f>
        <v>56</v>
      </c>
      <c r="AN129" s="126">
        <f t="shared" si="173"/>
        <v>69</v>
      </c>
      <c r="AO129" s="132">
        <f>SUM(AO123:AO128)</f>
        <v>525</v>
      </c>
      <c r="AP129" s="87"/>
      <c r="AQ129" s="133">
        <f t="shared" ref="AQ129" si="174">IF(SUM(M129:O129)=0,0,SUM(M129:O129)/SUM(L129:O129))</f>
        <v>0.98461538461538467</v>
      </c>
      <c r="AR129" s="134">
        <f t="shared" ref="AR129" si="175">IF(SUM(Q129:R129)=0,0,SUM(Q129:R129)/SUM(P129:U129))</f>
        <v>0.91919191919191923</v>
      </c>
    </row>
    <row r="130" spans="1:44" s="90" customFormat="1" x14ac:dyDescent="0.25">
      <c r="A130" s="79"/>
      <c r="B130" s="79"/>
      <c r="C130" s="111"/>
      <c r="D130" s="111"/>
      <c r="E130" s="111"/>
      <c r="F130" s="120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3"/>
      <c r="AF130" s="66"/>
      <c r="AG130" s="176"/>
      <c r="AH130" s="177"/>
      <c r="AI130" s="178"/>
      <c r="AJ130" s="95"/>
      <c r="AK130" s="96"/>
      <c r="AL130" s="94"/>
      <c r="AM130" s="94"/>
      <c r="AN130" s="94"/>
      <c r="AO130" s="89"/>
      <c r="AP130" s="87"/>
      <c r="AQ130" s="116"/>
      <c r="AR130" s="117"/>
    </row>
    <row r="131" spans="1:44" s="90" customFormat="1" x14ac:dyDescent="0.25">
      <c r="A131" s="79"/>
      <c r="B131" s="119">
        <v>8</v>
      </c>
      <c r="C131" s="80" t="s">
        <v>238</v>
      </c>
      <c r="D131" s="81"/>
      <c r="E131" s="81"/>
      <c r="F131" s="120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3"/>
      <c r="AF131" s="66"/>
      <c r="AG131" s="84"/>
      <c r="AH131" s="85"/>
      <c r="AI131" s="86"/>
      <c r="AJ131" s="95"/>
      <c r="AK131" s="96"/>
      <c r="AL131" s="94"/>
      <c r="AM131" s="94"/>
      <c r="AN131" s="94"/>
      <c r="AO131" s="89"/>
      <c r="AP131" s="87"/>
      <c r="AQ131" s="116"/>
      <c r="AR131" s="117"/>
    </row>
    <row r="132" spans="1:44" s="90" customFormat="1" x14ac:dyDescent="0.25">
      <c r="A132" s="79"/>
      <c r="B132" s="123"/>
      <c r="C132" s="122" t="s">
        <v>229</v>
      </c>
      <c r="D132" s="81"/>
      <c r="E132" s="81"/>
      <c r="F132" s="120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3"/>
      <c r="AF132" s="66"/>
      <c r="AG132" s="84"/>
      <c r="AH132" s="85"/>
      <c r="AI132" s="86"/>
      <c r="AJ132" s="95"/>
      <c r="AK132" s="96"/>
      <c r="AL132" s="94"/>
      <c r="AM132" s="94"/>
      <c r="AN132" s="94"/>
      <c r="AO132" s="89"/>
      <c r="AP132" s="87"/>
      <c r="AQ132" s="116"/>
      <c r="AR132" s="117"/>
    </row>
    <row r="133" spans="1:44" s="90" customFormat="1" x14ac:dyDescent="0.25">
      <c r="A133" s="123">
        <f>+A128+1</f>
        <v>65</v>
      </c>
      <c r="B133" s="79">
        <f>+B131+0.01</f>
        <v>8.01</v>
      </c>
      <c r="C133" s="136" t="s">
        <v>110</v>
      </c>
      <c r="D133" s="111" t="s">
        <v>198</v>
      </c>
      <c r="E133" s="111"/>
      <c r="F133" s="93"/>
      <c r="G133" s="82"/>
      <c r="H133" s="82"/>
      <c r="I133" s="82"/>
      <c r="J133" s="82"/>
      <c r="K133" s="82"/>
      <c r="L133" s="82"/>
      <c r="M133" s="82"/>
      <c r="N133" s="82">
        <v>4</v>
      </c>
      <c r="O133" s="82"/>
      <c r="P133" s="82">
        <v>1</v>
      </c>
      <c r="Q133" s="82">
        <v>13</v>
      </c>
      <c r="R133" s="82">
        <v>186</v>
      </c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>
        <f>SUM(G133:AC133)</f>
        <v>204</v>
      </c>
      <c r="AE133" s="83" t="s">
        <v>74</v>
      </c>
      <c r="AF133" s="66" t="s">
        <v>338</v>
      </c>
      <c r="AG133" s="84">
        <f>CORREL(L133:Y133,L$10:Y$10)</f>
        <v>0.97138435742447127</v>
      </c>
      <c r="AH133" s="85">
        <f>CORREL(L133:U133,L$10:U$10)</f>
        <v>0.97138435742447127</v>
      </c>
      <c r="AI133" s="86"/>
      <c r="AJ133" s="95"/>
      <c r="AK133" s="96">
        <f>SUM(G133:K133)</f>
        <v>0</v>
      </c>
      <c r="AL133" s="94">
        <f>SUM(L133:U133)</f>
        <v>204</v>
      </c>
      <c r="AM133" s="94">
        <f>SUM(V133:Y133)</f>
        <v>0</v>
      </c>
      <c r="AN133" s="94">
        <f>SUM(Z133:AC133)</f>
        <v>0</v>
      </c>
      <c r="AO133" s="97">
        <f>SUM(AK133:AN133)</f>
        <v>204</v>
      </c>
      <c r="AP133" s="87"/>
      <c r="AQ133" s="28">
        <f>IF(SUM(M133:O133)=0,0,SUM(M133:O133)/SUM(L133:O133))</f>
        <v>1</v>
      </c>
      <c r="AR133" s="29">
        <f>IF(SUM(Q133:R133)=0,0,SUM(Q133:R133)/SUM(P133:U133))</f>
        <v>0.995</v>
      </c>
    </row>
    <row r="134" spans="1:44" s="90" customFormat="1" x14ac:dyDescent="0.25">
      <c r="A134" s="123">
        <f>+A133+1</f>
        <v>66</v>
      </c>
      <c r="B134" s="79">
        <f>+B133+0.01</f>
        <v>8.02</v>
      </c>
      <c r="C134" s="136" t="s">
        <v>339</v>
      </c>
      <c r="D134" s="111" t="s">
        <v>71</v>
      </c>
      <c r="E134" s="90" t="s">
        <v>177</v>
      </c>
      <c r="F134" s="93" t="s">
        <v>36</v>
      </c>
      <c r="G134" s="82"/>
      <c r="H134" s="82"/>
      <c r="I134" s="82"/>
      <c r="J134" s="82"/>
      <c r="K134" s="82"/>
      <c r="L134" s="82"/>
      <c r="M134" s="82"/>
      <c r="N134" s="82">
        <v>2</v>
      </c>
      <c r="O134" s="82"/>
      <c r="P134" s="82"/>
      <c r="Q134" s="82">
        <v>6</v>
      </c>
      <c r="R134" s="82"/>
      <c r="S134" s="82"/>
      <c r="T134" s="82"/>
      <c r="U134" s="82">
        <v>1</v>
      </c>
      <c r="V134" s="82"/>
      <c r="W134" s="82">
        <v>33</v>
      </c>
      <c r="X134" s="82">
        <v>1</v>
      </c>
      <c r="Y134" s="82">
        <v>22</v>
      </c>
      <c r="Z134" s="82">
        <v>11</v>
      </c>
      <c r="AA134" s="82">
        <v>2</v>
      </c>
      <c r="AB134" s="82"/>
      <c r="AC134" s="82">
        <v>21</v>
      </c>
      <c r="AD134" s="82">
        <f>SUM(G134:AC134)</f>
        <v>99</v>
      </c>
      <c r="AE134" s="83" t="s">
        <v>34</v>
      </c>
      <c r="AF134" s="66"/>
      <c r="AG134" s="84">
        <f>CORREL(L134:Y134,L$10:Y$10)</f>
        <v>0.95659059407633029</v>
      </c>
      <c r="AH134" s="85">
        <f>CORREL(L134:U134,L$10:U$10)</f>
        <v>-0.65465367070797709</v>
      </c>
      <c r="AI134" s="86">
        <f>CORREL(V134:Y134,V$10:Y$10)</f>
        <v>0.96130046424173354</v>
      </c>
      <c r="AJ134" s="95"/>
      <c r="AK134" s="96">
        <f>SUM(G134:K134)</f>
        <v>0</v>
      </c>
      <c r="AL134" s="94">
        <f>SUM(L134:U134)</f>
        <v>9</v>
      </c>
      <c r="AM134" s="94">
        <f>SUM(V134:Y134)</f>
        <v>56</v>
      </c>
      <c r="AN134" s="94">
        <f>SUM(Z134:AC134)</f>
        <v>34</v>
      </c>
      <c r="AO134" s="97">
        <f>SUM(AK134:AN134)</f>
        <v>99</v>
      </c>
      <c r="AP134" s="87"/>
      <c r="AQ134" s="28">
        <f>IF(SUM(M134:O134)=0,0,SUM(M134:O134)/SUM(L134:O134))</f>
        <v>1</v>
      </c>
      <c r="AR134" s="29">
        <f>IF(SUM(Q134:R134)=0,0,SUM(Q134:R134)/SUM(P134:U134))</f>
        <v>0.8571428571428571</v>
      </c>
    </row>
    <row r="135" spans="1:44" s="90" customFormat="1" ht="15.75" thickBot="1" x14ac:dyDescent="0.3">
      <c r="A135" s="79"/>
      <c r="B135" s="79"/>
      <c r="C135" s="125" t="s">
        <v>230</v>
      </c>
      <c r="D135" s="111"/>
      <c r="E135" s="111"/>
      <c r="F135" s="93"/>
      <c r="G135" s="230">
        <f>+G133+G134</f>
        <v>0</v>
      </c>
      <c r="H135" s="230">
        <f t="shared" ref="H135:AD135" si="176">+H133+H134</f>
        <v>0</v>
      </c>
      <c r="I135" s="230">
        <f t="shared" si="176"/>
        <v>0</v>
      </c>
      <c r="J135" s="230">
        <f t="shared" si="176"/>
        <v>0</v>
      </c>
      <c r="K135" s="230">
        <f t="shared" si="176"/>
        <v>0</v>
      </c>
      <c r="L135" s="230">
        <f t="shared" si="176"/>
        <v>0</v>
      </c>
      <c r="M135" s="230">
        <f t="shared" si="176"/>
        <v>0</v>
      </c>
      <c r="N135" s="230">
        <f t="shared" si="176"/>
        <v>6</v>
      </c>
      <c r="O135" s="230">
        <f t="shared" si="176"/>
        <v>0</v>
      </c>
      <c r="P135" s="230">
        <f t="shared" si="176"/>
        <v>1</v>
      </c>
      <c r="Q135" s="230">
        <f t="shared" si="176"/>
        <v>19</v>
      </c>
      <c r="R135" s="230">
        <f t="shared" si="176"/>
        <v>186</v>
      </c>
      <c r="S135" s="230">
        <f t="shared" si="176"/>
        <v>0</v>
      </c>
      <c r="T135" s="230">
        <f t="shared" si="176"/>
        <v>0</v>
      </c>
      <c r="U135" s="230">
        <f t="shared" si="176"/>
        <v>1</v>
      </c>
      <c r="V135" s="230">
        <f t="shared" si="176"/>
        <v>0</v>
      </c>
      <c r="W135" s="230">
        <f t="shared" si="176"/>
        <v>33</v>
      </c>
      <c r="X135" s="230">
        <f t="shared" si="176"/>
        <v>1</v>
      </c>
      <c r="Y135" s="230">
        <f t="shared" si="176"/>
        <v>22</v>
      </c>
      <c r="Z135" s="230">
        <f t="shared" si="176"/>
        <v>11</v>
      </c>
      <c r="AA135" s="230">
        <f t="shared" si="176"/>
        <v>2</v>
      </c>
      <c r="AB135" s="230">
        <f t="shared" si="176"/>
        <v>0</v>
      </c>
      <c r="AC135" s="230">
        <f t="shared" si="176"/>
        <v>21</v>
      </c>
      <c r="AD135" s="230">
        <f t="shared" si="176"/>
        <v>303</v>
      </c>
      <c r="AE135" s="114"/>
      <c r="AF135" s="66"/>
      <c r="AG135" s="127">
        <f>CORREL(L135:Y135,L$10:Y$10)</f>
        <v>5.5579093388936213E-3</v>
      </c>
      <c r="AH135" s="128">
        <f>CORREL(L135:U135,L$10:U$10)</f>
        <v>-0.15475119358456102</v>
      </c>
      <c r="AI135" s="129">
        <f>CORREL(V135:Y135,V$10:Y$10)</f>
        <v>0.94303665856370011</v>
      </c>
      <c r="AJ135" s="130"/>
      <c r="AK135" s="131">
        <f>SUM(G135:K135)</f>
        <v>0</v>
      </c>
      <c r="AL135" s="126">
        <f>SUM(L135:U135)</f>
        <v>213</v>
      </c>
      <c r="AM135" s="126">
        <f>SUM(V135:Y135)</f>
        <v>56</v>
      </c>
      <c r="AN135" s="126">
        <f>SUM(Z135:AC135)</f>
        <v>34</v>
      </c>
      <c r="AO135" s="132">
        <f t="shared" ref="AO135" si="177">SUM(AK135:AN135)</f>
        <v>303</v>
      </c>
      <c r="AP135" s="87"/>
      <c r="AQ135" s="30">
        <f>IF(SUM(M135:O135)=0,0,SUM(M135:O135)/SUM(L135:O135))</f>
        <v>1</v>
      </c>
      <c r="AR135" s="31">
        <f>IF(SUM(Q135:R135)=0,0,SUM(Q135:R135)/SUM(P135:U135))</f>
        <v>0.99033816425120769</v>
      </c>
    </row>
    <row r="136" spans="1:44" s="90" customFormat="1" ht="15.75" thickTop="1" x14ac:dyDescent="0.25">
      <c r="A136" s="79"/>
      <c r="B136" s="79"/>
      <c r="C136" s="93"/>
      <c r="D136" s="111"/>
      <c r="E136" s="111"/>
      <c r="F136" s="93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31"/>
      <c r="Z136" s="231"/>
      <c r="AA136" s="231"/>
      <c r="AB136" s="231"/>
      <c r="AC136" s="231"/>
      <c r="AD136" s="231"/>
      <c r="AE136" s="114"/>
      <c r="AF136" s="66"/>
      <c r="AG136" s="84"/>
      <c r="AH136" s="85"/>
      <c r="AI136" s="86"/>
      <c r="AJ136" s="95"/>
      <c r="AK136" s="96"/>
      <c r="AL136" s="94"/>
      <c r="AM136" s="94"/>
      <c r="AN136" s="94"/>
      <c r="AO136" s="97"/>
      <c r="AP136" s="87"/>
      <c r="AQ136" s="28"/>
      <c r="AR136" s="29"/>
    </row>
    <row r="137" spans="1:44" s="90" customFormat="1" x14ac:dyDescent="0.25">
      <c r="A137" s="79"/>
      <c r="B137" s="79"/>
      <c r="C137" s="122" t="s">
        <v>265</v>
      </c>
      <c r="D137" s="111"/>
      <c r="E137" s="111"/>
      <c r="F137" s="93"/>
      <c r="G137" s="112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  <c r="Z137" s="232"/>
      <c r="AA137" s="112"/>
      <c r="AB137" s="112"/>
      <c r="AC137" s="112"/>
      <c r="AD137" s="112"/>
      <c r="AE137" s="114"/>
      <c r="AF137" s="66"/>
      <c r="AG137" s="84"/>
      <c r="AH137" s="85"/>
      <c r="AI137" s="86"/>
      <c r="AJ137" s="95"/>
      <c r="AK137" s="88"/>
      <c r="AL137" s="87"/>
      <c r="AM137" s="87"/>
      <c r="AN137" s="87"/>
      <c r="AO137" s="89"/>
      <c r="AP137" s="87"/>
      <c r="AQ137" s="88"/>
      <c r="AR137" s="89"/>
    </row>
    <row r="138" spans="1:44" s="90" customFormat="1" ht="15.75" thickBot="1" x14ac:dyDescent="0.3">
      <c r="A138" s="123">
        <f>+A134+1</f>
        <v>67</v>
      </c>
      <c r="B138" s="79">
        <f>+B134+0.01</f>
        <v>8.0299999999999994</v>
      </c>
      <c r="C138" s="136" t="s">
        <v>178</v>
      </c>
      <c r="D138" s="111" t="s">
        <v>88</v>
      </c>
      <c r="E138" s="111"/>
      <c r="F138" s="93" t="s">
        <v>87</v>
      </c>
      <c r="G138" s="139"/>
      <c r="H138" s="139"/>
      <c r="I138" s="139">
        <v>37</v>
      </c>
      <c r="J138" s="139"/>
      <c r="K138" s="139"/>
      <c r="L138" s="139"/>
      <c r="M138" s="139">
        <v>27</v>
      </c>
      <c r="N138" s="139">
        <v>63</v>
      </c>
      <c r="O138" s="139">
        <v>80</v>
      </c>
      <c r="P138" s="139">
        <v>25</v>
      </c>
      <c r="Q138" s="139">
        <v>19</v>
      </c>
      <c r="R138" s="139">
        <v>17</v>
      </c>
      <c r="S138" s="139"/>
      <c r="T138" s="139"/>
      <c r="U138" s="139"/>
      <c r="V138" s="139"/>
      <c r="W138" s="139">
        <v>2</v>
      </c>
      <c r="X138" s="139"/>
      <c r="Y138" s="139"/>
      <c r="Z138" s="139"/>
      <c r="AA138" s="139"/>
      <c r="AB138" s="139"/>
      <c r="AC138" s="139"/>
      <c r="AD138" s="139">
        <v>270</v>
      </c>
      <c r="AE138" s="83" t="s">
        <v>89</v>
      </c>
      <c r="AF138" s="233" t="s">
        <v>207</v>
      </c>
      <c r="AG138" s="195"/>
      <c r="AH138" s="196"/>
      <c r="AI138" s="197"/>
      <c r="AJ138" s="95"/>
      <c r="AK138" s="234">
        <f>SUM(G138:K138)</f>
        <v>37</v>
      </c>
      <c r="AL138" s="235">
        <f>SUM(L138:U138)</f>
        <v>231</v>
      </c>
      <c r="AM138" s="235">
        <f>SUM(V138:Y138)</f>
        <v>2</v>
      </c>
      <c r="AN138" s="235">
        <f>SUM(Z138:AC138)</f>
        <v>0</v>
      </c>
      <c r="AO138" s="236">
        <f>SUM(AK138:AN138)</f>
        <v>270</v>
      </c>
      <c r="AP138" s="87"/>
      <c r="AQ138" s="32">
        <f>IF(SUM(M138:O138)=0,0,SUM(M138:O138)/SUM(L138:O138))</f>
        <v>1</v>
      </c>
      <c r="AR138" s="33">
        <f>IF(SUM(Q138:R138)=0,0,SUM(Q138:R138)/SUM(P138:U138))</f>
        <v>0.5901639344262295</v>
      </c>
    </row>
    <row r="139" spans="1:44" ht="15.75" thickBot="1" x14ac:dyDescent="0.3">
      <c r="C139" s="238" t="s">
        <v>248</v>
      </c>
      <c r="G139" s="241">
        <f>+G138+G135</f>
        <v>0</v>
      </c>
      <c r="H139" s="241">
        <f t="shared" ref="H139:AD139" si="178">+H138+H135</f>
        <v>0</v>
      </c>
      <c r="I139" s="241">
        <f t="shared" si="178"/>
        <v>37</v>
      </c>
      <c r="J139" s="241">
        <f t="shared" si="178"/>
        <v>0</v>
      </c>
      <c r="K139" s="241">
        <f t="shared" si="178"/>
        <v>0</v>
      </c>
      <c r="L139" s="241">
        <f t="shared" si="178"/>
        <v>0</v>
      </c>
      <c r="M139" s="241">
        <f t="shared" si="178"/>
        <v>27</v>
      </c>
      <c r="N139" s="241">
        <f t="shared" si="178"/>
        <v>69</v>
      </c>
      <c r="O139" s="241">
        <f t="shared" si="178"/>
        <v>80</v>
      </c>
      <c r="P139" s="241">
        <f t="shared" si="178"/>
        <v>26</v>
      </c>
      <c r="Q139" s="241">
        <f t="shared" si="178"/>
        <v>38</v>
      </c>
      <c r="R139" s="241">
        <f t="shared" si="178"/>
        <v>203</v>
      </c>
      <c r="S139" s="241">
        <f t="shared" si="178"/>
        <v>0</v>
      </c>
      <c r="T139" s="241">
        <f t="shared" si="178"/>
        <v>0</v>
      </c>
      <c r="U139" s="241">
        <f t="shared" si="178"/>
        <v>1</v>
      </c>
      <c r="V139" s="241">
        <f t="shared" si="178"/>
        <v>0</v>
      </c>
      <c r="W139" s="241">
        <f t="shared" si="178"/>
        <v>35</v>
      </c>
      <c r="X139" s="241">
        <f t="shared" si="178"/>
        <v>1</v>
      </c>
      <c r="Y139" s="241">
        <f t="shared" si="178"/>
        <v>22</v>
      </c>
      <c r="Z139" s="241">
        <f t="shared" si="178"/>
        <v>11</v>
      </c>
      <c r="AA139" s="241">
        <f t="shared" si="178"/>
        <v>2</v>
      </c>
      <c r="AB139" s="241">
        <f t="shared" si="178"/>
        <v>0</v>
      </c>
      <c r="AC139" s="241">
        <f t="shared" si="178"/>
        <v>21</v>
      </c>
      <c r="AD139" s="241">
        <f t="shared" si="178"/>
        <v>573</v>
      </c>
      <c r="AF139" s="243"/>
      <c r="AG139" s="200">
        <f>CORREL(L139:Y139,L$10:Y$10)</f>
        <v>-0.1176583170192368</v>
      </c>
      <c r="AH139" s="201">
        <f t="shared" ref="AH139" si="179">CORREL(L139:U139,L$10:U$10)</f>
        <v>-0.28564549637329584</v>
      </c>
      <c r="AI139" s="150">
        <f>CORREL(V139:Y139,V$10:Y$10)</f>
        <v>0.95332582457011839</v>
      </c>
      <c r="AJ139" s="130"/>
      <c r="AP139" s="2"/>
    </row>
    <row r="140" spans="1:44" ht="15.75" thickBot="1" x14ac:dyDescent="0.3"/>
    <row r="141" spans="1:44" s="253" customFormat="1" ht="14.25" x14ac:dyDescent="0.2">
      <c r="A141" s="246"/>
      <c r="B141" s="246"/>
      <c r="C141" s="247" t="s">
        <v>263</v>
      </c>
      <c r="D141" s="247"/>
      <c r="E141" s="247"/>
      <c r="F141" s="238"/>
      <c r="G141" s="248">
        <f t="shared" ref="G141:AD141" si="180">+G135+G129+G112+G99+G86+G71+G41+G19</f>
        <v>37</v>
      </c>
      <c r="H141" s="248">
        <f t="shared" si="180"/>
        <v>10</v>
      </c>
      <c r="I141" s="248">
        <f t="shared" si="180"/>
        <v>24</v>
      </c>
      <c r="J141" s="248">
        <f t="shared" si="180"/>
        <v>10</v>
      </c>
      <c r="K141" s="248">
        <f t="shared" si="180"/>
        <v>2</v>
      </c>
      <c r="L141" s="248">
        <f t="shared" si="180"/>
        <v>12</v>
      </c>
      <c r="M141" s="248">
        <f t="shared" si="180"/>
        <v>83</v>
      </c>
      <c r="N141" s="248">
        <f t="shared" si="180"/>
        <v>123</v>
      </c>
      <c r="O141" s="248">
        <f t="shared" si="180"/>
        <v>7</v>
      </c>
      <c r="P141" s="248">
        <f t="shared" si="180"/>
        <v>65</v>
      </c>
      <c r="Q141" s="248">
        <f t="shared" si="180"/>
        <v>221</v>
      </c>
      <c r="R141" s="248">
        <f t="shared" si="180"/>
        <v>301</v>
      </c>
      <c r="S141" s="248">
        <f t="shared" si="180"/>
        <v>177</v>
      </c>
      <c r="T141" s="248">
        <f t="shared" si="180"/>
        <v>53</v>
      </c>
      <c r="U141" s="248">
        <f t="shared" si="180"/>
        <v>71</v>
      </c>
      <c r="V141" s="248">
        <f t="shared" si="180"/>
        <v>124</v>
      </c>
      <c r="W141" s="248">
        <f t="shared" si="180"/>
        <v>652</v>
      </c>
      <c r="X141" s="248">
        <f t="shared" si="180"/>
        <v>46</v>
      </c>
      <c r="Y141" s="248">
        <f t="shared" si="180"/>
        <v>261</v>
      </c>
      <c r="Z141" s="248">
        <f t="shared" si="180"/>
        <v>12</v>
      </c>
      <c r="AA141" s="248">
        <f t="shared" si="180"/>
        <v>16</v>
      </c>
      <c r="AB141" s="248">
        <f t="shared" si="180"/>
        <v>3</v>
      </c>
      <c r="AC141" s="248">
        <f t="shared" si="180"/>
        <v>96</v>
      </c>
      <c r="AD141" s="248">
        <f t="shared" si="180"/>
        <v>2406</v>
      </c>
      <c r="AE141" s="249"/>
      <c r="AF141" s="249" t="s">
        <v>267</v>
      </c>
      <c r="AG141" s="250">
        <f>CORREL(L141:Y141,L$10:Y$10)</f>
        <v>0.84887806959594547</v>
      </c>
      <c r="AH141" s="251">
        <f>CORREL(L141:U141,L$10:U$10)</f>
        <v>0.1441663462598608</v>
      </c>
      <c r="AI141" s="252">
        <f>CORREL(V141:Y141,V$10:Y$10)</f>
        <v>0.99812524453431406</v>
      </c>
      <c r="AK141" s="254">
        <f>SUM(G141:K141)</f>
        <v>83</v>
      </c>
      <c r="AL141" s="255">
        <f>SUM(L141:U141)</f>
        <v>1113</v>
      </c>
      <c r="AM141" s="255">
        <f>SUM(V141:Y141)</f>
        <v>1083</v>
      </c>
      <c r="AN141" s="255">
        <f>SUM(Z141:AC141)</f>
        <v>127</v>
      </c>
      <c r="AO141" s="256">
        <f>SUM(AK141:AN141)</f>
        <v>2406</v>
      </c>
      <c r="AQ141" s="257">
        <f>IF(SUM(M141:O141)=0,0,SUM(M141:O141)/SUM(L141:O141))</f>
        <v>0.94666666666666666</v>
      </c>
      <c r="AR141" s="258">
        <f>IF(SUM(Q141:R141)=0,0,SUM(Q141:R141)/SUM(P141:U141))</f>
        <v>0.58783783783783783</v>
      </c>
    </row>
    <row r="142" spans="1:44" s="253" customFormat="1" thickBot="1" x14ac:dyDescent="0.25">
      <c r="A142" s="246"/>
      <c r="B142" s="246"/>
      <c r="C142" s="247" t="s">
        <v>264</v>
      </c>
      <c r="D142" s="247"/>
      <c r="E142" s="247"/>
      <c r="F142" s="238"/>
      <c r="G142" s="248">
        <f t="shared" ref="G142:AD142" si="181">+G138+G119+G88+G74+G24</f>
        <v>0</v>
      </c>
      <c r="H142" s="248">
        <f t="shared" si="181"/>
        <v>0</v>
      </c>
      <c r="I142" s="248">
        <f t="shared" si="181"/>
        <v>37</v>
      </c>
      <c r="J142" s="248">
        <f t="shared" si="181"/>
        <v>0</v>
      </c>
      <c r="K142" s="248">
        <f t="shared" si="181"/>
        <v>0</v>
      </c>
      <c r="L142" s="248">
        <f t="shared" si="181"/>
        <v>0</v>
      </c>
      <c r="M142" s="248">
        <f t="shared" si="181"/>
        <v>28</v>
      </c>
      <c r="N142" s="248">
        <f t="shared" si="181"/>
        <v>63</v>
      </c>
      <c r="O142" s="248">
        <f t="shared" si="181"/>
        <v>80</v>
      </c>
      <c r="P142" s="248">
        <f t="shared" si="181"/>
        <v>25</v>
      </c>
      <c r="Q142" s="248">
        <f t="shared" si="181"/>
        <v>19</v>
      </c>
      <c r="R142" s="248">
        <f t="shared" si="181"/>
        <v>17</v>
      </c>
      <c r="S142" s="248">
        <f t="shared" si="181"/>
        <v>3</v>
      </c>
      <c r="T142" s="248">
        <f t="shared" si="181"/>
        <v>1</v>
      </c>
      <c r="U142" s="248">
        <f t="shared" si="181"/>
        <v>5</v>
      </c>
      <c r="V142" s="248">
        <f t="shared" si="181"/>
        <v>274</v>
      </c>
      <c r="W142" s="248">
        <f t="shared" si="181"/>
        <v>4453</v>
      </c>
      <c r="X142" s="248">
        <f t="shared" si="181"/>
        <v>202</v>
      </c>
      <c r="Y142" s="248">
        <f t="shared" si="181"/>
        <v>970</v>
      </c>
      <c r="Z142" s="248">
        <f t="shared" si="181"/>
        <v>0</v>
      </c>
      <c r="AA142" s="248">
        <f t="shared" si="181"/>
        <v>0</v>
      </c>
      <c r="AB142" s="248">
        <f t="shared" si="181"/>
        <v>3</v>
      </c>
      <c r="AC142" s="248">
        <f t="shared" si="181"/>
        <v>2</v>
      </c>
      <c r="AD142" s="248">
        <f t="shared" si="181"/>
        <v>6182</v>
      </c>
      <c r="AE142" s="249"/>
      <c r="AF142" s="249" t="s">
        <v>266</v>
      </c>
      <c r="AG142" s="200">
        <f t="shared" ref="AG142" si="182">CORREL(L142:Y142,L$7:Y$7)</f>
        <v>0.99810261647107779</v>
      </c>
      <c r="AH142" s="201">
        <f>CORREL(L142:U142,L$7:U$7)</f>
        <v>0.96377238246818908</v>
      </c>
      <c r="AI142" s="150">
        <f>CORREL(V142:Y142,V$7:Y$7)</f>
        <v>0.9974774428889458</v>
      </c>
      <c r="AK142" s="259">
        <f>SUM(G142:K142)</f>
        <v>37</v>
      </c>
      <c r="AL142" s="229">
        <f>SUM(L142:U142)</f>
        <v>241</v>
      </c>
      <c r="AM142" s="229">
        <f>SUM(V142:Y142)</f>
        <v>5899</v>
      </c>
      <c r="AN142" s="229">
        <f>SUM(Z142:AC142)</f>
        <v>5</v>
      </c>
      <c r="AO142" s="260">
        <f>SUM(AK142:AN142)</f>
        <v>6182</v>
      </c>
      <c r="AQ142" s="261">
        <f>IF(SUM(M142:O142)=0,0,SUM(M142:O142)/SUM(L142:O142))</f>
        <v>1</v>
      </c>
      <c r="AR142" s="262">
        <f>IF(SUM(Q142:R142)=0,0,SUM(Q142:R142)/SUM(P142:U142))</f>
        <v>0.51428571428571423</v>
      </c>
    </row>
  </sheetData>
  <sortState ref="A47:AS70">
    <sortCondition descending="1" ref="AD47:AD70"/>
  </sortState>
  <mergeCells count="3">
    <mergeCell ref="AG1:AI1"/>
    <mergeCell ref="A1:B1"/>
    <mergeCell ref="AG13:AI13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ColWidth="8.85546875" defaultRowHeight="15.75" x14ac:dyDescent="0.25"/>
  <cols>
    <col min="1" max="1" width="8.85546875" style="4"/>
    <col min="2" max="2" width="2.28515625" style="4" customWidth="1"/>
    <col min="3" max="3" width="17.7109375" style="4" customWidth="1"/>
    <col min="4" max="16384" width="8.85546875" style="4"/>
  </cols>
  <sheetData>
    <row r="1" spans="1:6" ht="16.5" thickBot="1" x14ac:dyDescent="0.3">
      <c r="A1" s="3" t="s">
        <v>347</v>
      </c>
      <c r="D1" s="5"/>
      <c r="E1" s="5"/>
    </row>
    <row r="2" spans="1:6" ht="25.9" customHeight="1" x14ac:dyDescent="0.25">
      <c r="B2" s="6"/>
      <c r="C2" s="7" t="s">
        <v>254</v>
      </c>
      <c r="D2" s="312" t="s">
        <v>252</v>
      </c>
      <c r="E2" s="312"/>
      <c r="F2" s="313"/>
    </row>
    <row r="3" spans="1:6" ht="16.149999999999999" customHeight="1" x14ac:dyDescent="0.25">
      <c r="B3" s="8"/>
      <c r="C3" s="9"/>
      <c r="D3" s="10" t="s">
        <v>74</v>
      </c>
      <c r="E3" s="10" t="s">
        <v>255</v>
      </c>
      <c r="F3" s="11" t="s">
        <v>256</v>
      </c>
    </row>
    <row r="4" spans="1:6" ht="16.149999999999999" customHeight="1" x14ac:dyDescent="0.25">
      <c r="B4" s="8"/>
      <c r="C4" s="9"/>
      <c r="D4" s="12" t="s">
        <v>185</v>
      </c>
      <c r="E4" s="12" t="s">
        <v>225</v>
      </c>
      <c r="F4" s="13" t="s">
        <v>186</v>
      </c>
    </row>
    <row r="5" spans="1:6" x14ac:dyDescent="0.25">
      <c r="B5" s="14">
        <f>+'5.01. Data'!B14</f>
        <v>1</v>
      </c>
      <c r="C5" s="15" t="str">
        <f>+'5.01. Data'!C14</f>
        <v>York &amp; environs</v>
      </c>
      <c r="D5" s="9"/>
      <c r="E5" s="9"/>
      <c r="F5" s="16"/>
    </row>
    <row r="6" spans="1:6" x14ac:dyDescent="0.25">
      <c r="B6" s="8"/>
      <c r="C6" s="9" t="str">
        <f>+'5.01. Data'!C15</f>
        <v>A. Single Finds</v>
      </c>
      <c r="D6" s="17">
        <f>+'5.01. Data'!AG19</f>
        <v>0.96933280891098339</v>
      </c>
      <c r="E6" s="17">
        <f>+'5.01. Data'!AH19</f>
        <v>0.92687517835560296</v>
      </c>
      <c r="F6" s="18">
        <f>+'5.01. Data'!AI19</f>
        <v>0.97933880608501489</v>
      </c>
    </row>
    <row r="7" spans="1:6" x14ac:dyDescent="0.25">
      <c r="B7" s="8"/>
      <c r="C7" s="9" t="str">
        <f>+'5.01. Data'!C20</f>
        <v>B. Hoard Coins</v>
      </c>
      <c r="D7" s="19">
        <f>+'5.01. Data'!AG24</f>
        <v>0.92883038849151189</v>
      </c>
      <c r="E7" s="19">
        <f>+'5.01. Data'!AH24</f>
        <v>0</v>
      </c>
      <c r="F7" s="20">
        <f>+'5.01. Data'!AI24</f>
        <v>0.97629892328769829</v>
      </c>
    </row>
    <row r="8" spans="1:6" x14ac:dyDescent="0.25">
      <c r="B8" s="8"/>
      <c r="C8" s="21" t="str">
        <f>+'5.01. Data'!C25</f>
        <v>Total York</v>
      </c>
      <c r="D8" s="17">
        <f>+'5.01. Data'!AG25</f>
        <v>0.93145666539460881</v>
      </c>
      <c r="E8" s="17">
        <f>+'5.01. Data'!AH25</f>
        <v>0.92698355496506502</v>
      </c>
      <c r="F8" s="18">
        <f>+'5.01. Data'!AI25</f>
        <v>0.97665519037413662</v>
      </c>
    </row>
    <row r="9" spans="1:6" x14ac:dyDescent="0.25">
      <c r="B9" s="8"/>
      <c r="C9" s="9"/>
      <c r="D9" s="17"/>
      <c r="E9" s="17"/>
      <c r="F9" s="18"/>
    </row>
    <row r="10" spans="1:6" x14ac:dyDescent="0.25">
      <c r="B10" s="14">
        <f>+'5.01. Data'!B27</f>
        <v>2</v>
      </c>
      <c r="C10" s="15" t="str">
        <f>+'5.01. Data'!C27</f>
        <v>Central Lowlands</v>
      </c>
      <c r="D10" s="17"/>
      <c r="E10" s="17"/>
      <c r="F10" s="18"/>
    </row>
    <row r="11" spans="1:6" x14ac:dyDescent="0.25">
      <c r="B11" s="8"/>
      <c r="C11" s="9" t="str">
        <f>+'5.01. Data'!C28</f>
        <v>A. Single Finds</v>
      </c>
      <c r="D11" s="17">
        <f>+'5.01. Data'!AG41</f>
        <v>0.9203188585867248</v>
      </c>
      <c r="E11" s="17">
        <f>+'5.01. Data'!AH41</f>
        <v>0.30685485876010943</v>
      </c>
      <c r="F11" s="18">
        <f>+'5.01. Data'!AI41</f>
        <v>0.95430099598475326</v>
      </c>
    </row>
    <row r="12" spans="1:6" x14ac:dyDescent="0.25">
      <c r="B12" s="8"/>
      <c r="C12" s="9"/>
      <c r="D12" s="17"/>
      <c r="E12" s="17"/>
      <c r="F12" s="18"/>
    </row>
    <row r="13" spans="1:6" x14ac:dyDescent="0.25">
      <c r="B13" s="14">
        <f>+'5.01. Data'!B45</f>
        <v>3</v>
      </c>
      <c r="C13" s="15" t="str">
        <f>+'5.01. Data'!C45</f>
        <v>Yorkshire Wolds</v>
      </c>
      <c r="D13" s="17"/>
      <c r="E13" s="17"/>
      <c r="F13" s="18"/>
    </row>
    <row r="14" spans="1:6" x14ac:dyDescent="0.25">
      <c r="B14" s="8"/>
      <c r="C14" s="9" t="str">
        <f>+'5.01. Data'!C46</f>
        <v>A. Single Finds</v>
      </c>
      <c r="D14" s="17">
        <f>+'5.01. Data'!AG71</f>
        <v>0.94206840686609472</v>
      </c>
      <c r="E14" s="17">
        <f>+'5.01. Data'!AH71</f>
        <v>0.78669395877380233</v>
      </c>
      <c r="F14" s="18">
        <f>+'5.01. Data'!AI71</f>
        <v>0.98358191801950978</v>
      </c>
    </row>
    <row r="15" spans="1:6" x14ac:dyDescent="0.25">
      <c r="B15" s="8"/>
      <c r="C15" s="9" t="str">
        <f>+'5.01. Data'!C73</f>
        <v>B. Hoard Coins</v>
      </c>
      <c r="D15" s="19">
        <f>+'5.01. Data'!AG74</f>
        <v>0.96430895277810458</v>
      </c>
      <c r="E15" s="19">
        <f>+'5.01. Data'!AH74</f>
        <v>0</v>
      </c>
      <c r="F15" s="20">
        <f>+'5.01. Data'!AI74</f>
        <v>0.96430895277810458</v>
      </c>
    </row>
    <row r="16" spans="1:6" x14ac:dyDescent="0.25">
      <c r="B16" s="8"/>
      <c r="C16" s="21" t="str">
        <f>+'5.01. Data'!C75</f>
        <v>Total Wolds</v>
      </c>
      <c r="D16" s="17">
        <f>+'5.01. Data'!AG75</f>
        <v>0.94493580332564575</v>
      </c>
      <c r="E16" s="17">
        <f>+'5.01. Data'!AH75</f>
        <v>0.78669395877380233</v>
      </c>
      <c r="F16" s="18">
        <f>+'5.01. Data'!AI75</f>
        <v>0.98331606572389763</v>
      </c>
    </row>
    <row r="17" spans="2:6" x14ac:dyDescent="0.25">
      <c r="B17" s="8"/>
      <c r="C17" s="21"/>
      <c r="D17" s="17"/>
      <c r="E17" s="17"/>
      <c r="F17" s="18"/>
    </row>
    <row r="18" spans="2:6" x14ac:dyDescent="0.25">
      <c r="B18" s="14">
        <f>+'5.01. Data'!B85</f>
        <v>4</v>
      </c>
      <c r="C18" s="15" t="s">
        <v>242</v>
      </c>
      <c r="D18" s="17">
        <f>+'5.01. Data'!AG89</f>
        <v>0.94804536296876041</v>
      </c>
      <c r="E18" s="17">
        <f>+'5.01. Data'!AH89</f>
        <v>0.86172803425428379</v>
      </c>
      <c r="F18" s="18">
        <f>+'5.01. Data'!AI89</f>
        <v>0.94210012334229865</v>
      </c>
    </row>
    <row r="19" spans="2:6" x14ac:dyDescent="0.25">
      <c r="B19" s="8"/>
      <c r="C19" s="9"/>
      <c r="D19" s="17"/>
      <c r="E19" s="17"/>
      <c r="F19" s="18"/>
    </row>
    <row r="20" spans="2:6" x14ac:dyDescent="0.25">
      <c r="B20" s="14">
        <f>+'5.01. Data'!B93</f>
        <v>5</v>
      </c>
      <c r="C20" s="15" t="str">
        <f>+'5.01. Data'!C93</f>
        <v>Vale of Pickering</v>
      </c>
      <c r="D20" s="17">
        <f>+'5.01. Data'!AG99</f>
        <v>0.96842412256409782</v>
      </c>
      <c r="E20" s="17">
        <f>+'5.01. Data'!AH99</f>
        <v>0.96826205475401961</v>
      </c>
      <c r="F20" s="18">
        <f>+'5.01. Data'!AI99</f>
        <v>0.96406412048952894</v>
      </c>
    </row>
    <row r="21" spans="2:6" x14ac:dyDescent="0.25">
      <c r="B21" s="8"/>
      <c r="C21" s="9"/>
      <c r="D21" s="17"/>
      <c r="E21" s="17"/>
      <c r="F21" s="18"/>
    </row>
    <row r="22" spans="2:6" x14ac:dyDescent="0.25">
      <c r="B22" s="14">
        <f>+'5.01. Data'!B103</f>
        <v>6</v>
      </c>
      <c r="C22" s="15" t="str">
        <f>+'5.01. Data'!C103</f>
        <v>Bernicia &amp; the North</v>
      </c>
      <c r="D22" s="17"/>
      <c r="E22" s="17"/>
      <c r="F22" s="18"/>
    </row>
    <row r="23" spans="2:6" x14ac:dyDescent="0.25">
      <c r="B23" s="8"/>
      <c r="C23" s="9" t="str">
        <f>+'5.01. Data'!C104</f>
        <v>A. Single Finds</v>
      </c>
      <c r="D23" s="17">
        <f>+'5.01. Data'!AG112</f>
        <v>0.96624965512509753</v>
      </c>
      <c r="E23" s="17">
        <f>+'5.01. Data'!AH112</f>
        <v>0.82492390186193032</v>
      </c>
      <c r="F23" s="18">
        <f>+'5.01. Data'!AI112</f>
        <v>0.9937099802796111</v>
      </c>
    </row>
    <row r="24" spans="2:6" x14ac:dyDescent="0.25">
      <c r="B24" s="8"/>
      <c r="C24" s="9" t="str">
        <f>+'5.01. Data'!C114</f>
        <v>B. Hoard Coins</v>
      </c>
      <c r="D24" s="19">
        <f>+'5.01. Data'!AG119</f>
        <v>0.9078633080877182</v>
      </c>
      <c r="E24" s="19">
        <f>+'5.01. Data'!AH119</f>
        <v>0.13409266721062715</v>
      </c>
      <c r="F24" s="20">
        <f>+'5.01. Data'!AI119</f>
        <v>0.94034706414098435</v>
      </c>
    </row>
    <row r="25" spans="2:6" x14ac:dyDescent="0.25">
      <c r="B25" s="8"/>
      <c r="C25" s="21" t="str">
        <f>+'5.01. Data'!C120</f>
        <v>Total Bernicia</v>
      </c>
      <c r="D25" s="17">
        <f>+'5.01. Data'!AG120</f>
        <v>0.9200553561521273</v>
      </c>
      <c r="E25" s="17">
        <f>+'5.01. Data'!AH120</f>
        <v>0.76655531382616593</v>
      </c>
      <c r="F25" s="18">
        <f>+'5.01. Data'!AI120</f>
        <v>0.95160360532416521</v>
      </c>
    </row>
    <row r="26" spans="2:6" x14ac:dyDescent="0.25">
      <c r="B26" s="8"/>
      <c r="C26" s="9"/>
      <c r="D26" s="17"/>
      <c r="E26" s="17"/>
      <c r="F26" s="18"/>
    </row>
    <row r="27" spans="2:6" x14ac:dyDescent="0.25">
      <c r="B27" s="14">
        <f>+'5.01. Data'!B122</f>
        <v>7</v>
      </c>
      <c r="C27" s="15" t="str">
        <f>+'5.01. Data'!C122</f>
        <v>Southumbria</v>
      </c>
      <c r="D27" s="17"/>
      <c r="E27" s="17"/>
      <c r="F27" s="18">
        <f>+'5.01. Data'!AI129</f>
        <v>0.93436958330606101</v>
      </c>
    </row>
    <row r="28" spans="2:6" x14ac:dyDescent="0.25">
      <c r="B28" s="8"/>
      <c r="C28" s="9"/>
      <c r="D28" s="17"/>
      <c r="E28" s="17"/>
      <c r="F28" s="18"/>
    </row>
    <row r="29" spans="2:6" ht="16.5" thickBot="1" x14ac:dyDescent="0.3">
      <c r="B29" s="22">
        <f>+'5.01. Data'!B131</f>
        <v>8</v>
      </c>
      <c r="C29" s="23" t="str">
        <f>+'5.01. Data'!C131</f>
        <v>Other ‘Productive Sites'</v>
      </c>
      <c r="D29" s="24"/>
      <c r="E29" s="24"/>
      <c r="F29" s="25">
        <f>+'5.01. Data'!AI139</f>
        <v>0.95332582457011839</v>
      </c>
    </row>
    <row r="31" spans="2:6" x14ac:dyDescent="0.25">
      <c r="B31" s="307" t="s">
        <v>346</v>
      </c>
    </row>
    <row r="32" spans="2:6" x14ac:dyDescent="0.25">
      <c r="B32" s="4" t="s">
        <v>340</v>
      </c>
    </row>
  </sheetData>
  <mergeCells count="1">
    <mergeCell ref="D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="80" zoomScaleNormal="80" workbookViewId="0"/>
  </sheetViews>
  <sheetFormatPr defaultColWidth="4.5703125" defaultRowHeight="15.75" x14ac:dyDescent="0.25"/>
  <cols>
    <col min="1" max="1" width="2.140625" style="36" customWidth="1"/>
    <col min="2" max="2" width="3.85546875" style="35" customWidth="1"/>
    <col min="3" max="3" width="24.7109375" style="36" customWidth="1"/>
    <col min="4" max="4" width="9.140625" style="36" customWidth="1"/>
    <col min="5" max="5" width="14.5703125" style="36" customWidth="1"/>
    <col min="6" max="6" width="7.85546875" style="36" customWidth="1"/>
    <col min="7" max="7" width="7.28515625" style="36" customWidth="1"/>
    <col min="8" max="8" width="10.7109375" style="36" customWidth="1"/>
    <col min="9" max="9" width="11" style="36" customWidth="1"/>
    <col min="10" max="10" width="7.85546875" style="36" customWidth="1"/>
    <col min="11" max="11" width="8.140625" style="36" customWidth="1"/>
    <col min="12" max="12" width="7.85546875" style="36" customWidth="1"/>
    <col min="13" max="13" width="11.42578125" style="36" customWidth="1"/>
    <col min="14" max="14" width="10.7109375" style="36" customWidth="1"/>
    <col min="15" max="15" width="7.85546875" style="36" customWidth="1"/>
    <col min="16" max="16" width="9.42578125" style="36" customWidth="1"/>
    <col min="17" max="16384" width="4.5703125" style="36"/>
  </cols>
  <sheetData>
    <row r="1" spans="1:16" x14ac:dyDescent="0.25">
      <c r="A1" s="34" t="s">
        <v>343</v>
      </c>
    </row>
    <row r="2" spans="1:16" x14ac:dyDescent="0.25">
      <c r="A2" s="34"/>
    </row>
    <row r="3" spans="1:16" ht="23.25" customHeight="1" thickBot="1" x14ac:dyDescent="0.6">
      <c r="A3" s="34"/>
      <c r="B3" s="37" t="s">
        <v>319</v>
      </c>
      <c r="C3" s="38" t="s">
        <v>330</v>
      </c>
    </row>
    <row r="4" spans="1:16" ht="30.6" customHeight="1" x14ac:dyDescent="0.25">
      <c r="B4" s="264"/>
      <c r="C4" s="39" t="s">
        <v>259</v>
      </c>
      <c r="D4" s="265"/>
      <c r="E4" s="40" t="s">
        <v>317</v>
      </c>
      <c r="F4" s="40" t="s">
        <v>318</v>
      </c>
      <c r="G4" s="41" t="s">
        <v>220</v>
      </c>
      <c r="H4" s="41" t="s">
        <v>221</v>
      </c>
      <c r="I4" s="41" t="s">
        <v>222</v>
      </c>
      <c r="J4" s="41" t="s">
        <v>321</v>
      </c>
      <c r="K4" s="42" t="s">
        <v>85</v>
      </c>
      <c r="L4" s="43" t="s">
        <v>220</v>
      </c>
      <c r="M4" s="41" t="s">
        <v>221</v>
      </c>
      <c r="N4" s="41" t="s">
        <v>222</v>
      </c>
      <c r="O4" s="41" t="s">
        <v>321</v>
      </c>
      <c r="P4" s="44" t="s">
        <v>85</v>
      </c>
    </row>
    <row r="5" spans="1:16" x14ac:dyDescent="0.25">
      <c r="B5" s="266"/>
      <c r="C5" s="267" t="s">
        <v>257</v>
      </c>
      <c r="D5" s="268"/>
      <c r="E5" s="267"/>
      <c r="F5" s="267"/>
      <c r="G5" s="269" t="s">
        <v>224</v>
      </c>
      <c r="H5" s="269" t="s">
        <v>225</v>
      </c>
      <c r="I5" s="269" t="s">
        <v>226</v>
      </c>
      <c r="J5" s="268"/>
      <c r="K5" s="268"/>
      <c r="L5" s="270" t="s">
        <v>268</v>
      </c>
      <c r="M5" s="271" t="s">
        <v>268</v>
      </c>
      <c r="N5" s="271" t="s">
        <v>268</v>
      </c>
      <c r="O5" s="271" t="s">
        <v>268</v>
      </c>
      <c r="P5" s="272" t="s">
        <v>268</v>
      </c>
    </row>
    <row r="6" spans="1:16" ht="30" customHeight="1" thickBot="1" x14ac:dyDescent="0.3">
      <c r="B6" s="266"/>
      <c r="C6" s="273" t="s">
        <v>258</v>
      </c>
      <c r="D6" s="268"/>
      <c r="E6" s="273"/>
      <c r="F6" s="273"/>
      <c r="G6" s="274">
        <f>+'5.01. Data'!AK10</f>
        <v>3</v>
      </c>
      <c r="H6" s="274">
        <f>+'5.01. Data'!AL10</f>
        <v>322</v>
      </c>
      <c r="I6" s="274">
        <f>+'5.01. Data'!AM10</f>
        <v>917</v>
      </c>
      <c r="J6" s="274">
        <f>+'5.01. Data'!AN10</f>
        <v>0</v>
      </c>
      <c r="K6" s="274">
        <f>+'5.01. Data'!AO10</f>
        <v>1242</v>
      </c>
      <c r="L6" s="275">
        <f>+G6/$K6</f>
        <v>2.4154589371980675E-3</v>
      </c>
      <c r="M6" s="276">
        <f>+H6/$K6</f>
        <v>0.25925925925925924</v>
      </c>
      <c r="N6" s="276">
        <f>+I6/$K6</f>
        <v>0.73832528180354262</v>
      </c>
      <c r="O6" s="276">
        <f>+J6/$K6</f>
        <v>0</v>
      </c>
      <c r="P6" s="277">
        <f>+K6/$K6</f>
        <v>1</v>
      </c>
    </row>
    <row r="7" spans="1:16" ht="16.5" thickTop="1" x14ac:dyDescent="0.25">
      <c r="B7" s="266"/>
      <c r="C7" s="273"/>
      <c r="D7" s="268"/>
      <c r="E7" s="273"/>
      <c r="F7" s="273"/>
      <c r="G7" s="268"/>
      <c r="H7" s="268"/>
      <c r="I7" s="268"/>
      <c r="J7" s="268"/>
      <c r="K7" s="268"/>
      <c r="L7" s="278"/>
      <c r="M7" s="279"/>
      <c r="N7" s="279"/>
      <c r="O7" s="279"/>
      <c r="P7" s="280"/>
    </row>
    <row r="8" spans="1:16" x14ac:dyDescent="0.25">
      <c r="B8" s="266">
        <f>+'5.01. Data'!B14</f>
        <v>1</v>
      </c>
      <c r="C8" s="268" t="str">
        <f>+'5.01. Data'!C14</f>
        <v>York &amp; environs</v>
      </c>
      <c r="D8" s="268"/>
      <c r="E8" s="268">
        <v>1</v>
      </c>
      <c r="F8" s="268">
        <v>33</v>
      </c>
      <c r="G8" s="268">
        <f>+'5.01. Data'!AK19</f>
        <v>3</v>
      </c>
      <c r="H8" s="268">
        <f>+'5.01. Data'!AL19</f>
        <v>58</v>
      </c>
      <c r="I8" s="268">
        <f>+'5.01. Data'!AM19</f>
        <v>99</v>
      </c>
      <c r="J8" s="268">
        <f>+'5.01. Data'!AN19</f>
        <v>4</v>
      </c>
      <c r="K8" s="268">
        <f>+'5.01. Data'!AO19</f>
        <v>164</v>
      </c>
      <c r="L8" s="278">
        <f t="shared" ref="L8:P14" si="0">+G8/$K8</f>
        <v>1.8292682926829267E-2</v>
      </c>
      <c r="M8" s="279">
        <f t="shared" si="0"/>
        <v>0.35365853658536583</v>
      </c>
      <c r="N8" s="279">
        <f t="shared" si="0"/>
        <v>0.60365853658536583</v>
      </c>
      <c r="O8" s="279">
        <f t="shared" si="0"/>
        <v>2.4390243902439025E-2</v>
      </c>
      <c r="P8" s="280">
        <f t="shared" si="0"/>
        <v>1</v>
      </c>
    </row>
    <row r="9" spans="1:16" x14ac:dyDescent="0.25">
      <c r="B9" s="266">
        <f>+'5.01. Data'!B27</f>
        <v>2</v>
      </c>
      <c r="C9" s="268" t="str">
        <f>+'5.01. Data'!C27</f>
        <v>Central Lowlands</v>
      </c>
      <c r="D9" s="268"/>
      <c r="E9" s="268">
        <v>5</v>
      </c>
      <c r="F9" s="268">
        <f>('5.01. Data'!B40-'5.01. Data'!B27)*100</f>
        <v>11.999999999999744</v>
      </c>
      <c r="G9" s="268">
        <f>+'5.01. Data'!AK41</f>
        <v>1</v>
      </c>
      <c r="H9" s="268">
        <f>+'5.01. Data'!AL41</f>
        <v>26</v>
      </c>
      <c r="I9" s="268">
        <f>+'5.01. Data'!AM41</f>
        <v>104</v>
      </c>
      <c r="J9" s="268">
        <f>+'5.01. Data'!AN41</f>
        <v>0</v>
      </c>
      <c r="K9" s="268">
        <f>+'5.01. Data'!AO41</f>
        <v>131</v>
      </c>
      <c r="L9" s="278">
        <f t="shared" si="0"/>
        <v>7.6335877862595417E-3</v>
      </c>
      <c r="M9" s="279">
        <f t="shared" si="0"/>
        <v>0.19847328244274809</v>
      </c>
      <c r="N9" s="279">
        <f t="shared" si="0"/>
        <v>0.79389312977099236</v>
      </c>
      <c r="O9" s="279">
        <f t="shared" si="0"/>
        <v>0</v>
      </c>
      <c r="P9" s="280">
        <f t="shared" si="0"/>
        <v>1</v>
      </c>
    </row>
    <row r="10" spans="1:16" x14ac:dyDescent="0.25">
      <c r="B10" s="266">
        <f>+'5.01. Data'!B45</f>
        <v>3</v>
      </c>
      <c r="C10" s="268" t="str">
        <f>+'5.01. Data'!C45</f>
        <v>Yorkshire Wolds</v>
      </c>
      <c r="D10" s="268"/>
      <c r="E10" s="268">
        <v>5</v>
      </c>
      <c r="F10" s="268">
        <f>('5.01. Data'!B70-'5.01. Data'!B45)*100</f>
        <v>23.999999999999488</v>
      </c>
      <c r="G10" s="268">
        <f>+'5.01. Data'!AK71</f>
        <v>6</v>
      </c>
      <c r="H10" s="268">
        <f>+'5.01. Data'!AL71</f>
        <v>393</v>
      </c>
      <c r="I10" s="268">
        <f>+'5.01. Data'!AM71</f>
        <v>390</v>
      </c>
      <c r="J10" s="268">
        <f>+'5.01. Data'!AN71</f>
        <v>8</v>
      </c>
      <c r="K10" s="268">
        <f>+'5.01. Data'!AO71</f>
        <v>797</v>
      </c>
      <c r="L10" s="278">
        <f t="shared" si="0"/>
        <v>7.5282308657465494E-3</v>
      </c>
      <c r="M10" s="279">
        <f t="shared" si="0"/>
        <v>0.49309912170639902</v>
      </c>
      <c r="N10" s="279">
        <f t="shared" si="0"/>
        <v>0.48933500627352572</v>
      </c>
      <c r="O10" s="279">
        <f t="shared" si="0"/>
        <v>1.0037641154328732E-2</v>
      </c>
      <c r="P10" s="280">
        <f t="shared" si="0"/>
        <v>1</v>
      </c>
    </row>
    <row r="11" spans="1:16" x14ac:dyDescent="0.25">
      <c r="B11" s="266">
        <f>+'5.01. Data'!B85</f>
        <v>4</v>
      </c>
      <c r="C11" s="268" t="str">
        <f>+'5.01. Data'!C85</f>
        <v xml:space="preserve">Beverley </v>
      </c>
      <c r="D11" s="268"/>
      <c r="E11" s="268">
        <v>5</v>
      </c>
      <c r="F11" s="268">
        <f>('5.01. Data'!B86-'5.01. Data'!B85)*100</f>
        <v>0.99999999999997868</v>
      </c>
      <c r="G11" s="268">
        <f>+'5.01. Data'!AK86</f>
        <v>0</v>
      </c>
      <c r="H11" s="268">
        <f>+'5.01. Data'!AL86</f>
        <v>4</v>
      </c>
      <c r="I11" s="268">
        <f>+'5.01. Data'!AM86</f>
        <v>3</v>
      </c>
      <c r="J11" s="268">
        <f>+'5.01. Data'!AN86</f>
        <v>0</v>
      </c>
      <c r="K11" s="268">
        <f>+'5.01. Data'!AO86</f>
        <v>7</v>
      </c>
      <c r="L11" s="278">
        <f t="shared" si="0"/>
        <v>0</v>
      </c>
      <c r="M11" s="279">
        <f t="shared" si="0"/>
        <v>0.5714285714285714</v>
      </c>
      <c r="N11" s="279">
        <f t="shared" si="0"/>
        <v>0.42857142857142855</v>
      </c>
      <c r="O11" s="279">
        <f t="shared" si="0"/>
        <v>0</v>
      </c>
      <c r="P11" s="280">
        <f t="shared" si="0"/>
        <v>1</v>
      </c>
    </row>
    <row r="12" spans="1:16" s="35" customFormat="1" x14ac:dyDescent="0.25">
      <c r="B12" s="266">
        <f>+'5.01. Data'!B93</f>
        <v>5</v>
      </c>
      <c r="C12" s="268" t="str">
        <f>+'5.01. Data'!C93</f>
        <v>Vale of Pickering</v>
      </c>
      <c r="D12" s="268"/>
      <c r="E12" s="268">
        <v>5</v>
      </c>
      <c r="F12" s="268">
        <f>('5.01. Data'!B98-'5.01. Data'!B93)*100</f>
        <v>4.9999999999998934</v>
      </c>
      <c r="G12" s="268">
        <f>+'5.01. Data'!AK99</f>
        <v>1</v>
      </c>
      <c r="H12" s="268">
        <f>+'5.01. Data'!AL99</f>
        <v>23</v>
      </c>
      <c r="I12" s="268">
        <f>+'5.01. Data'!AM99</f>
        <v>72</v>
      </c>
      <c r="J12" s="268">
        <f>+'5.01. Data'!AN99</f>
        <v>0</v>
      </c>
      <c r="K12" s="268">
        <f>+'5.01. Data'!AO99</f>
        <v>96</v>
      </c>
      <c r="L12" s="278">
        <f t="shared" si="0"/>
        <v>1.0416666666666666E-2</v>
      </c>
      <c r="M12" s="279">
        <f t="shared" si="0"/>
        <v>0.23958333333333334</v>
      </c>
      <c r="N12" s="279">
        <f t="shared" si="0"/>
        <v>0.75</v>
      </c>
      <c r="O12" s="279">
        <f t="shared" si="0"/>
        <v>0</v>
      </c>
      <c r="P12" s="280">
        <f t="shared" si="0"/>
        <v>1</v>
      </c>
    </row>
    <row r="13" spans="1:16" s="35" customFormat="1" x14ac:dyDescent="0.25">
      <c r="B13" s="266">
        <f>+'5.01. Data'!B103</f>
        <v>6</v>
      </c>
      <c r="C13" s="268" t="str">
        <f>+'5.01. Data'!C103</f>
        <v>Bernicia &amp; the North</v>
      </c>
      <c r="D13" s="268"/>
      <c r="E13" s="268">
        <v>5</v>
      </c>
      <c r="F13" s="268">
        <f>('5.01. Data'!B111-'5.01. Data'!B103)*100</f>
        <v>6.9999999999998508</v>
      </c>
      <c r="G13" s="268">
        <f>+'5.01. Data'!AK112</f>
        <v>0</v>
      </c>
      <c r="H13" s="268">
        <f>+'5.01. Data'!AL112</f>
        <v>68</v>
      </c>
      <c r="I13" s="268">
        <f>+'5.01. Data'!AM112</f>
        <v>303</v>
      </c>
      <c r="J13" s="268">
        <f>+'5.01. Data'!AN112</f>
        <v>12</v>
      </c>
      <c r="K13" s="268">
        <f>+'5.01. Data'!AO112</f>
        <v>383</v>
      </c>
      <c r="L13" s="278">
        <f t="shared" si="0"/>
        <v>0</v>
      </c>
      <c r="M13" s="279">
        <f t="shared" si="0"/>
        <v>0.17754569190600522</v>
      </c>
      <c r="N13" s="279">
        <f t="shared" si="0"/>
        <v>0.79112271540469969</v>
      </c>
      <c r="O13" s="279">
        <f t="shared" si="0"/>
        <v>3.1331592689295036E-2</v>
      </c>
      <c r="P13" s="280">
        <f t="shared" si="0"/>
        <v>1</v>
      </c>
    </row>
    <row r="14" spans="1:16" ht="16.5" thickBot="1" x14ac:dyDescent="0.3">
      <c r="B14" s="266"/>
      <c r="C14" s="267" t="s">
        <v>85</v>
      </c>
      <c r="D14" s="268"/>
      <c r="E14" s="267"/>
      <c r="F14" s="281">
        <f>SUM(F8:F13)</f>
        <v>81.999999999998948</v>
      </c>
      <c r="G14" s="282">
        <f>SUM(G9:G13)</f>
        <v>8</v>
      </c>
      <c r="H14" s="282">
        <f>SUM(H9:H13)</f>
        <v>514</v>
      </c>
      <c r="I14" s="282">
        <f>SUM(I9:I13)</f>
        <v>872</v>
      </c>
      <c r="J14" s="282">
        <f>SUM(J9:J13)</f>
        <v>20</v>
      </c>
      <c r="K14" s="282">
        <f>SUM(K9:K13)</f>
        <v>1414</v>
      </c>
      <c r="L14" s="283">
        <f t="shared" si="0"/>
        <v>5.6577086280056579E-3</v>
      </c>
      <c r="M14" s="284">
        <f t="shared" si="0"/>
        <v>0.36350777934936351</v>
      </c>
      <c r="N14" s="284">
        <f t="shared" si="0"/>
        <v>0.61669024045261667</v>
      </c>
      <c r="O14" s="284">
        <f t="shared" si="0"/>
        <v>1.4144271570014143E-2</v>
      </c>
      <c r="P14" s="285">
        <f t="shared" si="0"/>
        <v>1</v>
      </c>
    </row>
    <row r="15" spans="1:16" ht="16.5" thickTop="1" x14ac:dyDescent="0.25">
      <c r="B15" s="266"/>
      <c r="C15" s="268"/>
      <c r="D15" s="268"/>
      <c r="E15" s="268"/>
      <c r="F15" s="268"/>
      <c r="G15" s="268"/>
      <c r="H15" s="268"/>
      <c r="I15" s="268"/>
      <c r="J15" s="268"/>
      <c r="K15" s="268"/>
      <c r="L15" s="278"/>
      <c r="M15" s="279"/>
      <c r="N15" s="279"/>
      <c r="O15" s="279"/>
      <c r="P15" s="280"/>
    </row>
    <row r="16" spans="1:16" s="35" customFormat="1" ht="16.5" thickBot="1" x14ac:dyDescent="0.3">
      <c r="B16" s="286"/>
      <c r="C16" s="287" t="str">
        <f>+'5.01. Data'!C122</f>
        <v>Southumbria</v>
      </c>
      <c r="D16" s="287"/>
      <c r="E16" s="287"/>
      <c r="F16" s="287">
        <f>('5.01. Data'!B128-'5.01. Data'!B122)*100</f>
        <v>5.9999999999998721</v>
      </c>
      <c r="G16" s="287">
        <f>+'5.01. Data'!AK129</f>
        <v>72</v>
      </c>
      <c r="H16" s="287">
        <f>+'5.01. Data'!AL129</f>
        <v>328</v>
      </c>
      <c r="I16" s="287">
        <f>+'5.01. Data'!AM129</f>
        <v>56</v>
      </c>
      <c r="J16" s="287">
        <f>+'5.01. Data'!AN129</f>
        <v>69</v>
      </c>
      <c r="K16" s="287">
        <f>+'5.01. Data'!AO129</f>
        <v>525</v>
      </c>
      <c r="L16" s="288">
        <f>+G16/$K16</f>
        <v>0.13714285714285715</v>
      </c>
      <c r="M16" s="289">
        <f>+H16/$K16</f>
        <v>0.62476190476190474</v>
      </c>
      <c r="N16" s="289">
        <f>+I16/$K16</f>
        <v>0.10666666666666667</v>
      </c>
      <c r="O16" s="289">
        <f>+J16/$K16</f>
        <v>0.13142857142857142</v>
      </c>
      <c r="P16" s="290">
        <f>+K16/$K16</f>
        <v>1</v>
      </c>
    </row>
    <row r="17" spans="2:16" x14ac:dyDescent="0.25">
      <c r="B17" s="268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</row>
    <row r="18" spans="2:16" ht="21" customHeight="1" thickBot="1" x14ac:dyDescent="0.6">
      <c r="B18" s="302" t="s">
        <v>320</v>
      </c>
      <c r="C18" s="292" t="s">
        <v>331</v>
      </c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</row>
    <row r="19" spans="2:16" ht="31.15" customHeight="1" x14ac:dyDescent="0.25">
      <c r="B19" s="264"/>
      <c r="C19" s="39" t="s">
        <v>259</v>
      </c>
      <c r="D19" s="41" t="s">
        <v>344</v>
      </c>
      <c r="E19" s="40" t="s">
        <v>322</v>
      </c>
      <c r="F19" s="40" t="s">
        <v>318</v>
      </c>
      <c r="G19" s="41" t="s">
        <v>220</v>
      </c>
      <c r="H19" s="41" t="s">
        <v>221</v>
      </c>
      <c r="I19" s="41" t="s">
        <v>222</v>
      </c>
      <c r="J19" s="41" t="s">
        <v>321</v>
      </c>
      <c r="K19" s="44" t="s">
        <v>85</v>
      </c>
      <c r="L19" s="41" t="s">
        <v>220</v>
      </c>
      <c r="M19" s="41" t="s">
        <v>221</v>
      </c>
      <c r="N19" s="41" t="s">
        <v>222</v>
      </c>
      <c r="O19" s="41" t="s">
        <v>321</v>
      </c>
      <c r="P19" s="44" t="s">
        <v>85</v>
      </c>
    </row>
    <row r="20" spans="2:16" x14ac:dyDescent="0.25">
      <c r="B20" s="266"/>
      <c r="C20" s="267" t="s">
        <v>257</v>
      </c>
      <c r="D20" s="293"/>
      <c r="E20" s="268"/>
      <c r="F20" s="268"/>
      <c r="G20" s="269" t="s">
        <v>224</v>
      </c>
      <c r="H20" s="269" t="s">
        <v>225</v>
      </c>
      <c r="I20" s="269" t="s">
        <v>226</v>
      </c>
      <c r="J20" s="268"/>
      <c r="K20" s="303"/>
      <c r="L20" s="271" t="s">
        <v>268</v>
      </c>
      <c r="M20" s="271" t="s">
        <v>268</v>
      </c>
      <c r="N20" s="271" t="s">
        <v>268</v>
      </c>
      <c r="O20" s="271" t="s">
        <v>268</v>
      </c>
      <c r="P20" s="272" t="s">
        <v>268</v>
      </c>
    </row>
    <row r="21" spans="2:16" x14ac:dyDescent="0.25">
      <c r="B21" s="266">
        <f t="shared" ref="B21:C23" si="1">+B8</f>
        <v>1</v>
      </c>
      <c r="C21" s="268" t="str">
        <f t="shared" si="1"/>
        <v>York &amp; environs</v>
      </c>
      <c r="D21" s="305">
        <v>7.17</v>
      </c>
      <c r="E21" s="268">
        <v>0</v>
      </c>
      <c r="F21" s="268">
        <f>+F8</f>
        <v>33</v>
      </c>
      <c r="G21" s="268">
        <f t="shared" ref="G21:P21" si="2">+G8</f>
        <v>3</v>
      </c>
      <c r="H21" s="268">
        <f t="shared" si="2"/>
        <v>58</v>
      </c>
      <c r="I21" s="268">
        <f t="shared" si="2"/>
        <v>99</v>
      </c>
      <c r="J21" s="268">
        <f t="shared" si="2"/>
        <v>4</v>
      </c>
      <c r="K21" s="303">
        <f t="shared" si="2"/>
        <v>164</v>
      </c>
      <c r="L21" s="268">
        <f t="shared" si="2"/>
        <v>1.8292682926829267E-2</v>
      </c>
      <c r="M21" s="268">
        <f t="shared" si="2"/>
        <v>0.35365853658536583</v>
      </c>
      <c r="N21" s="268">
        <f t="shared" si="2"/>
        <v>0.60365853658536583</v>
      </c>
      <c r="O21" s="268">
        <f t="shared" si="2"/>
        <v>2.4390243902439025E-2</v>
      </c>
      <c r="P21" s="303">
        <f t="shared" si="2"/>
        <v>1</v>
      </c>
    </row>
    <row r="22" spans="2:16" x14ac:dyDescent="0.25">
      <c r="B22" s="266">
        <f t="shared" si="1"/>
        <v>2</v>
      </c>
      <c r="C22" s="268" t="str">
        <f t="shared" si="1"/>
        <v>Central Lowlands</v>
      </c>
      <c r="D22" s="306">
        <v>8.15</v>
      </c>
      <c r="E22" s="294">
        <f>(F22-F9)/F22</f>
        <v>0.8500000000000032</v>
      </c>
      <c r="F22" s="268">
        <v>80</v>
      </c>
      <c r="G22" s="268">
        <v>5</v>
      </c>
      <c r="H22" s="268">
        <v>67</v>
      </c>
      <c r="I22" s="268">
        <v>194</v>
      </c>
      <c r="J22" s="268">
        <v>3</v>
      </c>
      <c r="K22" s="303">
        <f>SUM(G22:J22)</f>
        <v>269</v>
      </c>
      <c r="L22" s="279">
        <f t="shared" ref="L22:O26" si="3">+G22/$K22</f>
        <v>1.858736059479554E-2</v>
      </c>
      <c r="M22" s="279">
        <f t="shared" si="3"/>
        <v>0.24907063197026022</v>
      </c>
      <c r="N22" s="279">
        <f t="shared" si="3"/>
        <v>0.72118959107806691</v>
      </c>
      <c r="O22" s="279">
        <f t="shared" si="3"/>
        <v>1.1152416356877323E-2</v>
      </c>
      <c r="P22" s="280">
        <f>SUM(L22:O22)</f>
        <v>1</v>
      </c>
    </row>
    <row r="23" spans="2:16" x14ac:dyDescent="0.25">
      <c r="B23" s="266">
        <f t="shared" si="1"/>
        <v>3</v>
      </c>
      <c r="C23" s="268" t="str">
        <f t="shared" si="1"/>
        <v>Yorkshire Wolds</v>
      </c>
      <c r="D23" s="306">
        <v>8.16</v>
      </c>
      <c r="E23" s="294">
        <f>(F23-F10)/F23</f>
        <v>0.52941176470589235</v>
      </c>
      <c r="F23" s="268">
        <v>51</v>
      </c>
      <c r="G23" s="268">
        <v>7</v>
      </c>
      <c r="H23" s="268">
        <v>394</v>
      </c>
      <c r="I23" s="268">
        <v>470</v>
      </c>
      <c r="J23" s="268">
        <v>7</v>
      </c>
      <c r="K23" s="303">
        <f t="shared" ref="K23:K25" si="4">SUM(G23:J23)</f>
        <v>878</v>
      </c>
      <c r="L23" s="279">
        <f t="shared" si="3"/>
        <v>7.972665148063782E-3</v>
      </c>
      <c r="M23" s="279">
        <f t="shared" si="3"/>
        <v>0.44874715261958997</v>
      </c>
      <c r="N23" s="279">
        <f t="shared" si="3"/>
        <v>0.53530751708428248</v>
      </c>
      <c r="O23" s="279">
        <f t="shared" si="3"/>
        <v>7.972665148063782E-3</v>
      </c>
      <c r="P23" s="280">
        <f t="shared" ref="P23:P25" si="5">SUM(L23:O23)</f>
        <v>1</v>
      </c>
    </row>
    <row r="24" spans="2:16" x14ac:dyDescent="0.25">
      <c r="B24" s="266">
        <f t="shared" ref="B24:C24" si="6">+B11</f>
        <v>4</v>
      </c>
      <c r="C24" s="268" t="str">
        <f t="shared" si="6"/>
        <v xml:space="preserve">Beverley </v>
      </c>
      <c r="D24" s="306">
        <v>8.26</v>
      </c>
      <c r="E24" s="294">
        <f>(F24-F11)/F24</f>
        <v>0.91666666666666841</v>
      </c>
      <c r="F24" s="268">
        <v>12</v>
      </c>
      <c r="G24" s="268">
        <v>0</v>
      </c>
      <c r="H24" s="268">
        <v>18</v>
      </c>
      <c r="I24" s="268">
        <v>35</v>
      </c>
      <c r="J24" s="268">
        <v>0</v>
      </c>
      <c r="K24" s="303">
        <f t="shared" si="4"/>
        <v>53</v>
      </c>
      <c r="L24" s="279">
        <f t="shared" si="3"/>
        <v>0</v>
      </c>
      <c r="M24" s="279">
        <f t="shared" si="3"/>
        <v>0.33962264150943394</v>
      </c>
      <c r="N24" s="279">
        <f t="shared" si="3"/>
        <v>0.660377358490566</v>
      </c>
      <c r="O24" s="279">
        <f t="shared" si="3"/>
        <v>0</v>
      </c>
      <c r="P24" s="280">
        <f t="shared" si="5"/>
        <v>1</v>
      </c>
    </row>
    <row r="25" spans="2:16" x14ac:dyDescent="0.25">
      <c r="B25" s="266">
        <f t="shared" ref="B25:C25" si="7">+B12</f>
        <v>5</v>
      </c>
      <c r="C25" s="268" t="str">
        <f t="shared" si="7"/>
        <v>Vale of Pickering</v>
      </c>
      <c r="D25" s="306">
        <v>8.33</v>
      </c>
      <c r="E25" s="294">
        <f>(F25-F12)/F25</f>
        <v>0.66666666666667374</v>
      </c>
      <c r="F25" s="295">
        <v>15</v>
      </c>
      <c r="G25" s="268">
        <v>0</v>
      </c>
      <c r="H25" s="268">
        <v>30</v>
      </c>
      <c r="I25" s="268">
        <v>79</v>
      </c>
      <c r="J25" s="268">
        <v>0</v>
      </c>
      <c r="K25" s="303">
        <f t="shared" si="4"/>
        <v>109</v>
      </c>
      <c r="L25" s="279">
        <f t="shared" si="3"/>
        <v>0</v>
      </c>
      <c r="M25" s="279">
        <f t="shared" si="3"/>
        <v>0.27522935779816515</v>
      </c>
      <c r="N25" s="279">
        <f t="shared" si="3"/>
        <v>0.72477064220183485</v>
      </c>
      <c r="O25" s="279">
        <f t="shared" si="3"/>
        <v>0</v>
      </c>
      <c r="P25" s="280">
        <f t="shared" si="5"/>
        <v>1</v>
      </c>
    </row>
    <row r="26" spans="2:16" ht="16.5" thickBot="1" x14ac:dyDescent="0.3">
      <c r="B26" s="286"/>
      <c r="C26" s="296" t="s">
        <v>85</v>
      </c>
      <c r="D26" s="287"/>
      <c r="E26" s="287"/>
      <c r="F26" s="287">
        <f>SUM(F21:F25)</f>
        <v>191</v>
      </c>
      <c r="G26" s="297">
        <f>SUM(G22:G25)</f>
        <v>12</v>
      </c>
      <c r="H26" s="297">
        <f>SUM(H22:H25)</f>
        <v>509</v>
      </c>
      <c r="I26" s="297">
        <f>SUM(I22:I25)</f>
        <v>778</v>
      </c>
      <c r="J26" s="297">
        <f>SUM(J22:J25)</f>
        <v>10</v>
      </c>
      <c r="K26" s="304">
        <f>SUM(K22:K25)</f>
        <v>1309</v>
      </c>
      <c r="L26" s="298">
        <f t="shared" si="3"/>
        <v>9.1673032849503445E-3</v>
      </c>
      <c r="M26" s="298">
        <f t="shared" si="3"/>
        <v>0.38884644766997706</v>
      </c>
      <c r="N26" s="298">
        <f t="shared" si="3"/>
        <v>0.59434682964094732</v>
      </c>
      <c r="O26" s="298">
        <f t="shared" si="3"/>
        <v>7.6394194041252868E-3</v>
      </c>
      <c r="P26" s="299">
        <f>+K26/$K26</f>
        <v>1</v>
      </c>
    </row>
    <row r="28" spans="2:16" x14ac:dyDescent="0.25">
      <c r="C28" s="301" t="s">
        <v>342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2:16" x14ac:dyDescent="0.25">
      <c r="C29" s="300" t="s">
        <v>341</v>
      </c>
    </row>
    <row r="30" spans="2:16" x14ac:dyDescent="0.25">
      <c r="C30" s="36" t="s">
        <v>345</v>
      </c>
    </row>
  </sheetData>
  <sortState ref="B6:S10">
    <sortCondition ref="B6:B10"/>
  </sortState>
  <pageMargins left="0.7" right="0.7" top="0.75" bottom="0.75" header="0.3" footer="0.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5.01. Data</vt:lpstr>
      <vt:lpstr>5.02. Correlations</vt:lpstr>
      <vt:lpstr>5.03.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2016-11-21T14:41:49Z</dcterms:modified>
</cp:coreProperties>
</file>