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6" windowHeight="4380" activeTab="0"/>
  </bookViews>
  <sheets>
    <sheet name="GET_transformed_logn_percents" sheetId="1" r:id="rId1"/>
    <sheet name="GET variables_deflated" sheetId="2" r:id="rId2"/>
    <sheet name="Barbados" sheetId="3" r:id="rId3"/>
    <sheet name="Jamaica" sheetId="4" r:id="rId4"/>
    <sheet name="Mauritius" sheetId="5" r:id="rId5"/>
  </sheets>
  <definedNames/>
  <calcPr fullCalcOnLoad="1"/>
</workbook>
</file>

<file path=xl/sharedStrings.xml><?xml version="1.0" encoding="utf-8"?>
<sst xmlns="http://schemas.openxmlformats.org/spreadsheetml/2006/main" count="232" uniqueCount="114">
  <si>
    <t>Year</t>
  </si>
  <si>
    <t>RE Uptake</t>
  </si>
  <si>
    <t>Debt per capita</t>
  </si>
  <si>
    <t>Real Debt in 2015 terms</t>
  </si>
  <si>
    <t>Domestic credit</t>
  </si>
  <si>
    <t>RE roadmap</t>
  </si>
  <si>
    <t>Real NDA in 2015 terms</t>
  </si>
  <si>
    <t>Sugar production</t>
  </si>
  <si>
    <t>Civil Society Participation</t>
  </si>
  <si>
    <t>Impartial Administration</t>
  </si>
  <si>
    <t>Rule enforcement</t>
  </si>
  <si>
    <t>Real GOP in 2015 terms</t>
  </si>
  <si>
    <t>Global Oil Price</t>
  </si>
  <si>
    <t>Country</t>
  </si>
  <si>
    <t xml:space="preserve">Utility Ownership </t>
  </si>
  <si>
    <t>Net development assistance</t>
  </si>
  <si>
    <t xml:space="preserve">Rule enforcemnt </t>
  </si>
  <si>
    <t>RE Electricity Generation (Gwh)</t>
  </si>
  <si>
    <t>Debt per capita (US$)</t>
  </si>
  <si>
    <t>Domestic credit provided to private sector (% of GDP)</t>
  </si>
  <si>
    <t>A clear RE roadmap</t>
  </si>
  <si>
    <t>Net official development assistance and official aid received (current US$)</t>
  </si>
  <si>
    <t>Sugar production (tonnes)</t>
  </si>
  <si>
    <t>Utility ownership status</t>
  </si>
  <si>
    <t>Global Oil Price (ave. US$ per barrel)</t>
  </si>
  <si>
    <t>1 yes</t>
  </si>
  <si>
    <t>1 participatory</t>
  </si>
  <si>
    <t>1 state majority ownership</t>
  </si>
  <si>
    <t>2 no</t>
  </si>
  <si>
    <t>2 private majority ownership</t>
  </si>
  <si>
    <t>3 non-participatory</t>
  </si>
  <si>
    <t>Sources:</t>
  </si>
  <si>
    <t>https://tabsoft.co/2EuNeb6</t>
  </si>
  <si>
    <t>https://bit.ly/2D7fYWO</t>
  </si>
  <si>
    <t>World Bank Group, 2020</t>
  </si>
  <si>
    <t>https://knoema.com/FAOPRDSC2020/production-statistics-crops-crops-processed</t>
  </si>
  <si>
    <t>https://www.idea.int/gsod-indices/#/indices/compare-countries-regions</t>
  </si>
  <si>
    <t>https://www.blpc.com.bb/index.php/company/our-story</t>
  </si>
  <si>
    <t>https://www.statista.com/statistics/262858/change-in-opec-crude-oil-prices-since-1960/</t>
  </si>
  <si>
    <t>IRENA, 2019</t>
  </si>
  <si>
    <t>CountryEconomy, 2018</t>
  </si>
  <si>
    <t>https://www.idea.int/gsod-indices/about#Direct%20Democracy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</si>
  <si>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</si>
  <si>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</si>
  <si>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</si>
  <si>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</si>
  <si>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</si>
  <si>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</si>
  <si>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</si>
  <si>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</si>
  <si>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</si>
  <si>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</si>
  <si>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 xml:space="preserve">Barbados </t>
  </si>
  <si>
    <t>Exogenous Variables</t>
  </si>
  <si>
    <t>Endogenous Var</t>
  </si>
  <si>
    <t>Y</t>
  </si>
  <si>
    <t xml:space="preserve">https://countryeconomy.com/national-debt/barbados </t>
  </si>
  <si>
    <t xml:space="preserve">World Bank Group, 2020; Aidflows.org  </t>
  </si>
  <si>
    <t xml:space="preserve">Government of Barbados, 2018.  Sustainable Energy Framework for Barbados. </t>
  </si>
  <si>
    <t>[Online] Available at: https://goo.gl/jPDbbV</t>
  </si>
  <si>
    <t>Primary stakeholder feedback from 20 respondents, 2018</t>
  </si>
  <si>
    <t>TAPSEC, 2018; Government of Barbados Division of Energy, 2017; CAPRI, 2014; Moore, et al., 2014.</t>
  </si>
  <si>
    <t>https://public.tableau.com/views/IRENARETimeSeries/Charts?:embed=y&amp;:showVizHome=no&amp;publish=yes&amp;:toolbar=no</t>
  </si>
  <si>
    <t xml:space="preserve">Jamaica </t>
  </si>
  <si>
    <t xml:space="preserve">Exogenous Variables </t>
  </si>
  <si>
    <t xml:space="preserve">https://public.tableau.com/views/IRENARETimeSeries/Charts?:embed=y&amp;:showVizHome=no&amp;publish=yes&amp;:toolbar=no </t>
  </si>
  <si>
    <t xml:space="preserve">https://countryeconomy.com/national-debt/jamaica  </t>
  </si>
  <si>
    <t xml:space="preserve">https://knoema.com/FAOPRDSC2020/production-statistics-crops-crops-processed </t>
  </si>
  <si>
    <t>The Ministry of Energy and Mining Jamaica, 2009. Jamaica's National Energy Policy 2009-2030, Kingston: The Ministry of Energy and Mining.</t>
  </si>
  <si>
    <t xml:space="preserve">https://www.idea.int/gsod-indices/#/indices/compare-countries-regions </t>
  </si>
  <si>
    <t xml:space="preserve">https://www.jpsco.com/our-history/ </t>
  </si>
  <si>
    <t xml:space="preserve">https://www.statista.com/statistics/262858/change-in-opec-crude-oil-prices-since-1960/ </t>
  </si>
  <si>
    <t>Planning Institute of Jamaica, 2018; TAPSEC, 2018; Doris, et al., 2015; Ochs, Alexander, et. al., 2015, p. 78; The Ministry of Energy and Mining Jamaica, 2009.</t>
  </si>
  <si>
    <t>https://countryeconomy.com/national-debt/mauritius</t>
  </si>
  <si>
    <t>https://bit.ly/2TTcb42</t>
  </si>
  <si>
    <t>https://www.reeep.org/mauritius-2012</t>
  </si>
  <si>
    <t xml:space="preserve">https://countryeconomy.com/national-debt/mauritius </t>
  </si>
  <si>
    <t xml:space="preserve">Mauritius </t>
  </si>
  <si>
    <t>Republic of Mauritius, 2009. Long-Term Energy Strategy 2009-2025, Port Louis: Ministry of Renewable Energy &amp; Public Utilities.</t>
  </si>
  <si>
    <t xml:space="preserve">https://bit.ly/34Xk3YH </t>
  </si>
  <si>
    <t xml:space="preserve">https://ceb.mu/company-profile/about-us </t>
  </si>
  <si>
    <t>Primary stakeholder feedback from 26 respondents, 2019.</t>
  </si>
  <si>
    <t>PwC Mauritius, 2020; PAGE, 2015; Republic of Mauritius, 2009; Republic of Mauritius, 2005.</t>
  </si>
  <si>
    <t>t</t>
  </si>
  <si>
    <t>y</t>
  </si>
  <si>
    <t>x1</t>
  </si>
  <si>
    <t>x5</t>
  </si>
  <si>
    <t>x4</t>
  </si>
  <si>
    <t>x2</t>
  </si>
  <si>
    <t>x3</t>
  </si>
  <si>
    <t>i</t>
  </si>
  <si>
    <t>ln_y</t>
  </si>
  <si>
    <t>ln_x1</t>
  </si>
  <si>
    <t>ln_x2</t>
  </si>
  <si>
    <t>ln_x3</t>
  </si>
  <si>
    <t>p_x5</t>
  </si>
  <si>
    <t>p_c2</t>
  </si>
  <si>
    <t>p_c3</t>
  </si>
  <si>
    <t>%10.0g</t>
  </si>
  <si>
    <t>Format:</t>
  </si>
  <si>
    <t>%9.0g</t>
  </si>
  <si>
    <t>Civil society participation</t>
  </si>
  <si>
    <t>x6</t>
  </si>
  <si>
    <t>Impartial administration</t>
  </si>
  <si>
    <t>x7</t>
  </si>
  <si>
    <t>x8</t>
  </si>
  <si>
    <t>Utility ownership</t>
  </si>
  <si>
    <t>x9</t>
  </si>
  <si>
    <t>Real GOP 2015</t>
  </si>
  <si>
    <t>x10</t>
  </si>
  <si>
    <t>RE uptake (ln)</t>
  </si>
  <si>
    <t xml:space="preserve">Real Debt 2015 </t>
  </si>
  <si>
    <t>Real NDA 2015</t>
  </si>
  <si>
    <t>2 partially participatory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</si>
</sst>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1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35" fillId="0" borderId="0" xfId="53" applyAlignment="1">
      <alignment/>
    </xf>
    <xf numFmtId="0" fontId="35" fillId="0" borderId="0" xfId="53" applyAlignment="1">
      <alignment horizont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35" fillId="0" borderId="0" xfId="53" applyAlignment="1">
      <alignment horizontal="left"/>
    </xf>
    <xf numFmtId="0" fontId="35" fillId="33" borderId="10" xfId="53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5" fillId="2" borderId="10" xfId="53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 wrapText="1"/>
    </xf>
    <xf numFmtId="1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41" fillId="34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2D7fYWO" TargetMode="External" /><Relationship Id="rId2" Type="http://schemas.openxmlformats.org/officeDocument/2006/relationships/hyperlink" Target="https://tabsoft.co/2EuNeb6" TargetMode="External" /><Relationship Id="rId3" Type="http://schemas.openxmlformats.org/officeDocument/2006/relationships/hyperlink" Target="https://countryeconomy.com/national-debt/barbados" TargetMode="External" /><Relationship Id="rId4" Type="http://schemas.openxmlformats.org/officeDocument/2006/relationships/hyperlink" Target="https://www.idea.int/gsod-indices/#/indices/compare-countries-regions" TargetMode="External" /><Relationship Id="rId5" Type="http://schemas.openxmlformats.org/officeDocument/2006/relationships/hyperlink" Target="https://www.idea.int/gsod-indices/about#Direct%20Democrac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views/IRENARETimeSeries/Charts?:embed=y&amp;:showVizHome=no&amp;publish=yes&amp;:toolbar=no" TargetMode="External" /><Relationship Id="rId2" Type="http://schemas.openxmlformats.org/officeDocument/2006/relationships/hyperlink" Target="https://countryeconomy.com/national-debt/jamaica" TargetMode="External" /><Relationship Id="rId3" Type="http://schemas.openxmlformats.org/officeDocument/2006/relationships/hyperlink" Target="https://bit.ly/2D7fYWO" TargetMode="External" /><Relationship Id="rId4" Type="http://schemas.openxmlformats.org/officeDocument/2006/relationships/hyperlink" Target="https://knoema.com/FAOPRDSC2020/production-statistics-crops-crops-processed" TargetMode="External" /><Relationship Id="rId5" Type="http://schemas.openxmlformats.org/officeDocument/2006/relationships/hyperlink" Target="https://www.idea.int/gsod-indices/#/indices/compare-countries-regions%20" TargetMode="External" /><Relationship Id="rId6" Type="http://schemas.openxmlformats.org/officeDocument/2006/relationships/hyperlink" Target="https://www.idea.int/gsod-indices/#/indices/compare-countries-regions%20" TargetMode="External" /><Relationship Id="rId7" Type="http://schemas.openxmlformats.org/officeDocument/2006/relationships/hyperlink" Target="https://www.jpsco.com/our-history/" TargetMode="External" /><Relationship Id="rId8" Type="http://schemas.openxmlformats.org/officeDocument/2006/relationships/hyperlink" Target="https://www.statista.com/statistics/262858/change-in-opec-crude-oil-prices-since-1960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views/IRENARETimeSeries/Charts?:embed=y&amp;:showVizHome=no&amp;publish=yes&amp;:toolbar=no" TargetMode="External" /><Relationship Id="rId2" Type="http://schemas.openxmlformats.org/officeDocument/2006/relationships/hyperlink" Target="https://countryeconomy.com/national-debt/mauritius" TargetMode="External" /><Relationship Id="rId3" Type="http://schemas.openxmlformats.org/officeDocument/2006/relationships/hyperlink" Target="https://knoema.com/FAOPRDSC2020/production-statistics-crops-crops-processed" TargetMode="External" /><Relationship Id="rId4" Type="http://schemas.openxmlformats.org/officeDocument/2006/relationships/hyperlink" Target="https://www.idea.int/gsod-indices/#/indices/compare-countries-regions" TargetMode="External" /><Relationship Id="rId5" Type="http://schemas.openxmlformats.org/officeDocument/2006/relationships/hyperlink" Target="https://www.reeep.org/mauritius-2012" TargetMode="External" /><Relationship Id="rId6" Type="http://schemas.openxmlformats.org/officeDocument/2006/relationships/hyperlink" Target="https://www.statista.com/statistics/262858/change-in-opec-crude-oil-prices-since-1960/" TargetMode="External" /><Relationship Id="rId7" Type="http://schemas.openxmlformats.org/officeDocument/2006/relationships/hyperlink" Target="https://bit.ly/2TTcb42" TargetMode="External" /><Relationship Id="rId8" Type="http://schemas.openxmlformats.org/officeDocument/2006/relationships/hyperlink" Target="https://www.idea.int/gsod-indices/#/indices/compare-countries-regions" TargetMode="External" /><Relationship Id="rId9" Type="http://schemas.openxmlformats.org/officeDocument/2006/relationships/hyperlink" Target="https://countryeconomy.com/national-debt/mauritius" TargetMode="External" /><Relationship Id="rId10" Type="http://schemas.openxmlformats.org/officeDocument/2006/relationships/hyperlink" Target="https://bit.ly/2D7fYWO" TargetMode="External" /><Relationship Id="rId11" Type="http://schemas.openxmlformats.org/officeDocument/2006/relationships/hyperlink" Target="https://bit.ly/34Xk3YH" TargetMode="External" /><Relationship Id="rId12" Type="http://schemas.openxmlformats.org/officeDocument/2006/relationships/hyperlink" Target="https://ceb.mu/company-profile/about-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D2" sqref="D2"/>
    </sheetView>
  </sheetViews>
  <sheetFormatPr defaultColWidth="9.00390625" defaultRowHeight="15.75"/>
  <cols>
    <col min="1" max="1" width="7.25390625" style="7" customWidth="1"/>
    <col min="2" max="2" width="8.00390625" style="7" customWidth="1"/>
    <col min="3" max="3" width="9.375" style="0" customWidth="1"/>
    <col min="4" max="4" width="11.75390625" style="0" customWidth="1"/>
    <col min="5" max="5" width="12.125" style="0" customWidth="1"/>
    <col min="6" max="6" width="10.75390625" style="0" customWidth="1"/>
    <col min="7" max="7" width="10.625" style="0" customWidth="1"/>
    <col min="9" max="9" width="9.25390625" style="0" customWidth="1"/>
    <col min="10" max="10" width="11.75390625" style="0" customWidth="1"/>
    <col min="11" max="11" width="14.00390625" style="0" customWidth="1"/>
    <col min="12" max="12" width="11.875" style="0" customWidth="1"/>
    <col min="13" max="13" width="9.75390625" style="0" customWidth="1"/>
    <col min="14" max="14" width="9.625" style="0" customWidth="1"/>
    <col min="16" max="16" width="9.875" style="0" customWidth="1"/>
    <col min="17" max="17" width="10.75390625" style="0" customWidth="1"/>
    <col min="18" max="18" width="10.25390625" style="0" customWidth="1"/>
    <col min="19" max="19" width="9.50390625" style="0" customWidth="1"/>
    <col min="20" max="20" width="10.625" style="0" customWidth="1"/>
    <col min="22" max="22" width="12.125" style="0" customWidth="1"/>
    <col min="23" max="23" width="13.25390625" style="0" customWidth="1"/>
    <col min="24" max="24" width="10.00390625" style="0" customWidth="1"/>
  </cols>
  <sheetData>
    <row r="1" spans="1:23" s="4" customFormat="1" ht="33.75" customHeight="1">
      <c r="A1" s="54"/>
      <c r="B1" s="6" t="s">
        <v>99</v>
      </c>
      <c r="C1" s="8" t="s">
        <v>98</v>
      </c>
      <c r="D1" s="8" t="s">
        <v>98</v>
      </c>
      <c r="E1" s="8" t="s">
        <v>98</v>
      </c>
      <c r="F1" s="8" t="s">
        <v>98</v>
      </c>
      <c r="G1" s="8" t="s">
        <v>98</v>
      </c>
      <c r="H1" s="8" t="s">
        <v>98</v>
      </c>
      <c r="I1" s="8" t="s">
        <v>98</v>
      </c>
      <c r="J1" s="8" t="s">
        <v>98</v>
      </c>
      <c r="K1" s="8" t="s">
        <v>98</v>
      </c>
      <c r="L1" s="8" t="s">
        <v>98</v>
      </c>
      <c r="M1" s="8" t="s">
        <v>98</v>
      </c>
      <c r="N1" s="8" t="s">
        <v>98</v>
      </c>
      <c r="O1" s="8" t="s">
        <v>98</v>
      </c>
      <c r="P1" s="8" t="s">
        <v>98</v>
      </c>
      <c r="Q1" s="8" t="s">
        <v>100</v>
      </c>
      <c r="R1" s="8" t="s">
        <v>100</v>
      </c>
      <c r="S1" s="8" t="s">
        <v>100</v>
      </c>
      <c r="T1" s="8" t="s">
        <v>100</v>
      </c>
      <c r="U1" s="8" t="s">
        <v>100</v>
      </c>
      <c r="V1" s="8" t="s">
        <v>100</v>
      </c>
      <c r="W1" s="8" t="s">
        <v>100</v>
      </c>
    </row>
    <row r="2" spans="1:23" s="5" customFormat="1" ht="50.25" customHeight="1">
      <c r="A2" s="5" t="s">
        <v>0</v>
      </c>
      <c r="B2" s="6" t="s">
        <v>1</v>
      </c>
      <c r="C2" s="1" t="s">
        <v>2</v>
      </c>
      <c r="D2" s="1" t="s">
        <v>3</v>
      </c>
      <c r="E2" s="1" t="s">
        <v>15</v>
      </c>
      <c r="F2" s="1" t="s">
        <v>6</v>
      </c>
      <c r="G2" s="5" t="s">
        <v>7</v>
      </c>
      <c r="H2" s="5" t="s">
        <v>5</v>
      </c>
      <c r="I2" s="5" t="s">
        <v>4</v>
      </c>
      <c r="J2" s="5" t="s">
        <v>101</v>
      </c>
      <c r="K2" s="5" t="s">
        <v>103</v>
      </c>
      <c r="L2" s="5" t="s">
        <v>10</v>
      </c>
      <c r="M2" s="5" t="s">
        <v>106</v>
      </c>
      <c r="N2" s="1" t="s">
        <v>12</v>
      </c>
      <c r="O2" s="5" t="s">
        <v>108</v>
      </c>
      <c r="P2" s="1" t="s">
        <v>13</v>
      </c>
      <c r="Q2" s="55" t="s">
        <v>110</v>
      </c>
      <c r="R2" s="55" t="s">
        <v>111</v>
      </c>
      <c r="S2" s="55" t="s">
        <v>112</v>
      </c>
      <c r="T2" s="55" t="s">
        <v>7</v>
      </c>
      <c r="U2" s="55" t="s">
        <v>4</v>
      </c>
      <c r="V2" s="55" t="s">
        <v>101</v>
      </c>
      <c r="W2" s="55" t="s">
        <v>103</v>
      </c>
    </row>
    <row r="3" spans="1:23" s="5" customFormat="1" ht="15">
      <c r="A3" s="6" t="s">
        <v>83</v>
      </c>
      <c r="B3" s="6" t="s">
        <v>84</v>
      </c>
      <c r="C3" s="1"/>
      <c r="D3" s="1" t="s">
        <v>85</v>
      </c>
      <c r="E3" s="1"/>
      <c r="F3" s="1" t="s">
        <v>88</v>
      </c>
      <c r="G3" s="1" t="s">
        <v>89</v>
      </c>
      <c r="H3" s="1" t="s">
        <v>87</v>
      </c>
      <c r="I3" s="1" t="s">
        <v>86</v>
      </c>
      <c r="J3" s="1" t="s">
        <v>102</v>
      </c>
      <c r="K3" s="1" t="s">
        <v>104</v>
      </c>
      <c r="L3" s="1" t="s">
        <v>105</v>
      </c>
      <c r="M3" s="1" t="s">
        <v>107</v>
      </c>
      <c r="N3" s="1"/>
      <c r="O3" s="1" t="s">
        <v>109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  <c r="W3" s="1" t="s">
        <v>97</v>
      </c>
    </row>
    <row r="4" spans="1:23" ht="15">
      <c r="A4" s="7">
        <v>2000</v>
      </c>
      <c r="B4" s="7">
        <v>0.16</v>
      </c>
      <c r="C4" s="9">
        <v>6938</v>
      </c>
      <c r="D4" s="9">
        <v>5169.466</v>
      </c>
      <c r="E4" s="9">
        <v>1799999.9</v>
      </c>
      <c r="F4" s="9">
        <v>1341170.2</v>
      </c>
      <c r="G4" s="9">
        <v>546000</v>
      </c>
      <c r="H4" s="9">
        <v>0</v>
      </c>
      <c r="I4" s="9">
        <v>47.9</v>
      </c>
      <c r="J4" s="9">
        <v>0.6</v>
      </c>
      <c r="K4" s="9">
        <v>0.66</v>
      </c>
      <c r="L4" s="9">
        <v>0</v>
      </c>
      <c r="M4" s="9">
        <v>1</v>
      </c>
      <c r="N4" s="9">
        <v>27.6</v>
      </c>
      <c r="O4" s="9">
        <v>20.56461</v>
      </c>
      <c r="P4" s="9">
        <v>1</v>
      </c>
      <c r="Q4" s="9">
        <v>-1.832582</v>
      </c>
      <c r="R4" s="9">
        <v>8.550525</v>
      </c>
      <c r="S4" s="9">
        <v>14.10905</v>
      </c>
      <c r="T4" s="9">
        <v>13.21037</v>
      </c>
      <c r="U4" s="9">
        <v>4790</v>
      </c>
      <c r="V4" s="9">
        <v>60</v>
      </c>
      <c r="W4" s="9">
        <v>66</v>
      </c>
    </row>
    <row r="5" spans="1:23" ht="15">
      <c r="A5" s="7">
        <v>2001</v>
      </c>
      <c r="B5" s="7">
        <v>0.16</v>
      </c>
      <c r="C5" s="9">
        <v>7639</v>
      </c>
      <c r="D5" s="9">
        <v>5816.6222</v>
      </c>
      <c r="E5" s="9">
        <v>319999.99</v>
      </c>
      <c r="F5" s="9">
        <v>243660.04</v>
      </c>
      <c r="G5" s="9">
        <v>420000</v>
      </c>
      <c r="H5" s="9">
        <v>0</v>
      </c>
      <c r="I5" s="9">
        <v>59.2</v>
      </c>
      <c r="J5" s="9">
        <v>0.6</v>
      </c>
      <c r="K5" s="9">
        <v>0.66</v>
      </c>
      <c r="L5" s="9">
        <v>0</v>
      </c>
      <c r="M5" s="9">
        <v>1</v>
      </c>
      <c r="N5" s="9">
        <v>23.12</v>
      </c>
      <c r="O5" s="9">
        <v>17.604439</v>
      </c>
      <c r="P5" s="9">
        <v>1</v>
      </c>
      <c r="Q5" s="9">
        <v>-1.832582</v>
      </c>
      <c r="R5" s="9">
        <v>8.668475</v>
      </c>
      <c r="S5" s="9">
        <v>12.40353</v>
      </c>
      <c r="T5" s="9">
        <v>12.94801</v>
      </c>
      <c r="U5" s="9">
        <v>5920</v>
      </c>
      <c r="V5" s="9">
        <v>60</v>
      </c>
      <c r="W5" s="9">
        <v>66</v>
      </c>
    </row>
    <row r="6" spans="1:23" ht="15">
      <c r="A6" s="7">
        <v>2002</v>
      </c>
      <c r="B6" s="7">
        <v>0.16</v>
      </c>
      <c r="C6" s="9">
        <v>8208</v>
      </c>
      <c r="D6" s="9">
        <v>6348.7385</v>
      </c>
      <c r="E6" s="9">
        <v>4750000</v>
      </c>
      <c r="F6" s="9">
        <v>3674038.5</v>
      </c>
      <c r="G6" s="9">
        <v>417847</v>
      </c>
      <c r="H6" s="9">
        <v>0</v>
      </c>
      <c r="I6" s="9">
        <v>60.5</v>
      </c>
      <c r="J6" s="9">
        <v>0.6</v>
      </c>
      <c r="K6" s="9">
        <v>0.66</v>
      </c>
      <c r="L6" s="9">
        <v>0</v>
      </c>
      <c r="M6" s="9">
        <v>1</v>
      </c>
      <c r="N6" s="9">
        <v>24.36</v>
      </c>
      <c r="O6" s="9">
        <v>18.842016</v>
      </c>
      <c r="P6" s="9">
        <v>1</v>
      </c>
      <c r="Q6" s="9">
        <v>-1.832582</v>
      </c>
      <c r="R6" s="9">
        <v>8.756011</v>
      </c>
      <c r="S6" s="9">
        <v>15.1168</v>
      </c>
      <c r="T6" s="9">
        <v>12.94287</v>
      </c>
      <c r="U6" s="9">
        <v>6050</v>
      </c>
      <c r="V6" s="9">
        <v>60</v>
      </c>
      <c r="W6" s="9">
        <v>66</v>
      </c>
    </row>
    <row r="7" spans="1:23" ht="15">
      <c r="A7" s="7">
        <v>2003</v>
      </c>
      <c r="B7" s="7">
        <v>0.16</v>
      </c>
      <c r="C7" s="9">
        <v>8518</v>
      </c>
      <c r="D7" s="9">
        <v>6710.8729</v>
      </c>
      <c r="E7" s="9">
        <v>21270000</v>
      </c>
      <c r="F7" s="9">
        <v>16757487</v>
      </c>
      <c r="G7" s="9">
        <v>364555</v>
      </c>
      <c r="H7" s="9">
        <v>0</v>
      </c>
      <c r="I7" s="9">
        <v>62.4</v>
      </c>
      <c r="J7" s="9">
        <v>0.6</v>
      </c>
      <c r="K7" s="9">
        <v>0.66</v>
      </c>
      <c r="L7" s="9">
        <v>0</v>
      </c>
      <c r="M7" s="9">
        <v>1</v>
      </c>
      <c r="N7" s="9">
        <v>28.1</v>
      </c>
      <c r="O7" s="9">
        <v>22.138475</v>
      </c>
      <c r="P7" s="9">
        <v>1</v>
      </c>
      <c r="Q7" s="9">
        <v>-1.832582</v>
      </c>
      <c r="R7" s="9">
        <v>8.811484</v>
      </c>
      <c r="S7" s="9">
        <v>16.63436</v>
      </c>
      <c r="T7" s="9">
        <v>12.80643</v>
      </c>
      <c r="U7" s="9">
        <v>6240</v>
      </c>
      <c r="V7" s="9">
        <v>60</v>
      </c>
      <c r="W7" s="9">
        <v>66</v>
      </c>
    </row>
    <row r="8" spans="1:23" ht="15">
      <c r="A8" s="7">
        <v>2004</v>
      </c>
      <c r="B8" s="7">
        <v>0.16</v>
      </c>
      <c r="C8" s="9">
        <v>9144</v>
      </c>
      <c r="D8" s="9">
        <v>7398.0133</v>
      </c>
      <c r="E8" s="9">
        <v>30299999</v>
      </c>
      <c r="F8" s="9">
        <v>24514414</v>
      </c>
      <c r="G8" s="9">
        <v>361237</v>
      </c>
      <c r="H8" s="9">
        <v>0</v>
      </c>
      <c r="I8" s="9">
        <v>67.3</v>
      </c>
      <c r="J8" s="9">
        <v>0.6</v>
      </c>
      <c r="K8" s="9">
        <v>0.66</v>
      </c>
      <c r="L8" s="9">
        <v>0</v>
      </c>
      <c r="M8" s="9">
        <v>1</v>
      </c>
      <c r="N8" s="9">
        <v>36.05</v>
      </c>
      <c r="O8" s="9">
        <v>29.166489</v>
      </c>
      <c r="P8" s="9">
        <v>1</v>
      </c>
      <c r="Q8" s="9">
        <v>-1.832582</v>
      </c>
      <c r="R8" s="9">
        <v>8.908967</v>
      </c>
      <c r="S8" s="9">
        <v>17.01477</v>
      </c>
      <c r="T8" s="9">
        <v>12.79729</v>
      </c>
      <c r="U8" s="9">
        <v>6730</v>
      </c>
      <c r="V8" s="9">
        <v>60</v>
      </c>
      <c r="W8" s="9">
        <v>66</v>
      </c>
    </row>
    <row r="9" spans="1:23" ht="15">
      <c r="A9" s="7">
        <v>2005</v>
      </c>
      <c r="B9" s="7">
        <v>0.31</v>
      </c>
      <c r="C9" s="9">
        <v>10481</v>
      </c>
      <c r="D9" s="9">
        <v>8743.8604</v>
      </c>
      <c r="E9" s="9">
        <v>-630000</v>
      </c>
      <c r="F9" s="9">
        <v>-525582.68</v>
      </c>
      <c r="G9" s="9">
        <v>442400</v>
      </c>
      <c r="H9" s="9">
        <v>0</v>
      </c>
      <c r="I9" s="9">
        <v>72.8</v>
      </c>
      <c r="J9" s="9">
        <v>0.67</v>
      </c>
      <c r="K9" s="9">
        <v>0.66</v>
      </c>
      <c r="L9" s="9">
        <v>0</v>
      </c>
      <c r="M9" s="9">
        <v>1</v>
      </c>
      <c r="N9" s="9">
        <v>50.59</v>
      </c>
      <c r="O9" s="9">
        <v>42.205123</v>
      </c>
      <c r="P9" s="9">
        <v>1</v>
      </c>
      <c r="Q9" s="9">
        <v>-1.171183</v>
      </c>
      <c r="R9" s="9">
        <v>9.076107</v>
      </c>
      <c r="S9" s="9"/>
      <c r="T9" s="9">
        <v>12.99997</v>
      </c>
      <c r="U9" s="9">
        <v>7280</v>
      </c>
      <c r="V9" s="9">
        <v>67</v>
      </c>
      <c r="W9" s="9">
        <v>66</v>
      </c>
    </row>
    <row r="10" spans="1:23" ht="15">
      <c r="A10" s="7">
        <v>2006</v>
      </c>
      <c r="B10" s="7">
        <v>0.31</v>
      </c>
      <c r="C10" s="9">
        <v>11933</v>
      </c>
      <c r="D10" s="9">
        <v>10256.468</v>
      </c>
      <c r="E10" s="9">
        <v>-889999.99</v>
      </c>
      <c r="F10" s="9">
        <v>-764959.07</v>
      </c>
      <c r="G10" s="9">
        <v>348300</v>
      </c>
      <c r="H10" s="9">
        <v>0</v>
      </c>
      <c r="I10" s="9">
        <v>73.7</v>
      </c>
      <c r="J10" s="9">
        <v>0.67</v>
      </c>
      <c r="K10" s="9">
        <v>0.66</v>
      </c>
      <c r="L10" s="9">
        <v>0</v>
      </c>
      <c r="M10" s="9">
        <v>1</v>
      </c>
      <c r="N10" s="9">
        <v>61</v>
      </c>
      <c r="O10" s="9">
        <v>52.429779</v>
      </c>
      <c r="P10" s="9">
        <v>1</v>
      </c>
      <c r="Q10" s="9">
        <v>-1.171183</v>
      </c>
      <c r="R10" s="9">
        <v>9.235663</v>
      </c>
      <c r="S10" s="9"/>
      <c r="T10" s="9">
        <v>12.76082</v>
      </c>
      <c r="U10" s="9">
        <v>7370</v>
      </c>
      <c r="V10" s="9">
        <v>67</v>
      </c>
      <c r="W10" s="9">
        <v>66</v>
      </c>
    </row>
    <row r="11" spans="1:23" ht="15">
      <c r="A11" s="7">
        <v>2007</v>
      </c>
      <c r="B11" s="7">
        <v>0.93</v>
      </c>
      <c r="C11" s="9">
        <v>13191</v>
      </c>
      <c r="D11" s="9">
        <v>11642.288</v>
      </c>
      <c r="E11" s="9">
        <v>18700001</v>
      </c>
      <c r="F11" s="9">
        <v>16504495</v>
      </c>
      <c r="G11" s="9">
        <v>353500</v>
      </c>
      <c r="H11" s="9">
        <v>0</v>
      </c>
      <c r="I11" s="9">
        <v>71.3</v>
      </c>
      <c r="J11" s="9">
        <v>0.67</v>
      </c>
      <c r="K11" s="9">
        <v>0.66</v>
      </c>
      <c r="L11" s="9">
        <v>0</v>
      </c>
      <c r="M11" s="9">
        <v>1</v>
      </c>
      <c r="N11" s="9">
        <v>69.04</v>
      </c>
      <c r="O11" s="9">
        <v>60.934239</v>
      </c>
      <c r="P11" s="9">
        <v>1</v>
      </c>
      <c r="Q11" s="9">
        <v>-0.0725707</v>
      </c>
      <c r="R11" s="9">
        <v>9.362399</v>
      </c>
      <c r="S11" s="9">
        <v>16.61914</v>
      </c>
      <c r="T11" s="9">
        <v>12.77564</v>
      </c>
      <c r="U11" s="9">
        <v>7130</v>
      </c>
      <c r="V11" s="9">
        <v>67</v>
      </c>
      <c r="W11" s="9">
        <v>66</v>
      </c>
    </row>
    <row r="12" spans="1:23" ht="15">
      <c r="A12" s="7">
        <v>2008</v>
      </c>
      <c r="B12" s="7">
        <v>0.93</v>
      </c>
      <c r="C12" s="9">
        <v>14166</v>
      </c>
      <c r="D12" s="9">
        <v>12746.012</v>
      </c>
      <c r="E12" s="9">
        <v>9279999.7</v>
      </c>
      <c r="F12" s="9">
        <v>8349780.6</v>
      </c>
      <c r="G12" s="9">
        <v>310700</v>
      </c>
      <c r="H12" s="9">
        <v>0</v>
      </c>
      <c r="I12" s="9">
        <v>75.6</v>
      </c>
      <c r="J12" s="9">
        <v>0.67</v>
      </c>
      <c r="K12" s="9">
        <v>0.66</v>
      </c>
      <c r="L12" s="9">
        <v>0</v>
      </c>
      <c r="M12" s="9">
        <v>1</v>
      </c>
      <c r="N12" s="9">
        <v>94.1</v>
      </c>
      <c r="O12" s="9">
        <v>84.667498</v>
      </c>
      <c r="P12" s="9">
        <v>1</v>
      </c>
      <c r="Q12" s="9">
        <v>-0.0725707</v>
      </c>
      <c r="R12" s="9">
        <v>9.452973</v>
      </c>
      <c r="S12" s="9">
        <v>15.93775</v>
      </c>
      <c r="T12" s="9">
        <v>12.64658</v>
      </c>
      <c r="U12" s="9">
        <v>7560</v>
      </c>
      <c r="V12" s="9">
        <v>67</v>
      </c>
      <c r="W12" s="9">
        <v>66</v>
      </c>
    </row>
    <row r="13" spans="1:23" ht="15">
      <c r="A13" s="7">
        <v>2009</v>
      </c>
      <c r="B13" s="7">
        <v>1.24</v>
      </c>
      <c r="C13" s="9">
        <v>16144</v>
      </c>
      <c r="D13" s="9">
        <v>14636.476</v>
      </c>
      <c r="E13" s="9">
        <v>30470000</v>
      </c>
      <c r="F13" s="9">
        <v>27624717</v>
      </c>
      <c r="G13" s="9">
        <v>356700</v>
      </c>
      <c r="H13" s="9">
        <v>0</v>
      </c>
      <c r="I13" s="9">
        <v>82.8</v>
      </c>
      <c r="J13" s="9">
        <v>0.67</v>
      </c>
      <c r="K13" s="9">
        <v>0.66</v>
      </c>
      <c r="L13" s="9">
        <v>0</v>
      </c>
      <c r="M13" s="9">
        <v>1</v>
      </c>
      <c r="N13" s="9">
        <v>60.86</v>
      </c>
      <c r="O13" s="9">
        <v>55.176905</v>
      </c>
      <c r="P13" s="9">
        <v>1</v>
      </c>
      <c r="Q13" s="9">
        <v>0.2151114</v>
      </c>
      <c r="R13" s="9">
        <v>9.591272</v>
      </c>
      <c r="S13" s="9">
        <v>17.13422</v>
      </c>
      <c r="T13" s="9">
        <v>12.78465</v>
      </c>
      <c r="U13" s="9">
        <v>8280</v>
      </c>
      <c r="V13" s="9">
        <v>67</v>
      </c>
      <c r="W13" s="9">
        <v>66</v>
      </c>
    </row>
    <row r="14" spans="1:23" ht="15">
      <c r="A14" s="7">
        <v>2010</v>
      </c>
      <c r="B14" s="7">
        <v>1.55</v>
      </c>
      <c r="C14" s="9">
        <v>17607</v>
      </c>
      <c r="D14" s="9">
        <v>16148.869</v>
      </c>
      <c r="E14" s="9">
        <v>50500000</v>
      </c>
      <c r="F14" s="9">
        <v>46317822</v>
      </c>
      <c r="G14" s="9">
        <v>258800</v>
      </c>
      <c r="H14" s="9">
        <v>0</v>
      </c>
      <c r="I14" s="9"/>
      <c r="J14" s="9">
        <v>0.67</v>
      </c>
      <c r="K14" s="9">
        <v>0.66</v>
      </c>
      <c r="L14" s="9">
        <v>0</v>
      </c>
      <c r="M14" s="9">
        <v>1</v>
      </c>
      <c r="N14" s="9">
        <v>77.38</v>
      </c>
      <c r="O14" s="9">
        <v>70.971744</v>
      </c>
      <c r="P14" s="9">
        <v>1</v>
      </c>
      <c r="Q14" s="9">
        <v>0.4382549</v>
      </c>
      <c r="R14" s="9">
        <v>9.689606</v>
      </c>
      <c r="S14" s="9">
        <v>17.65104</v>
      </c>
      <c r="T14" s="9">
        <v>12.46381</v>
      </c>
      <c r="U14" s="9"/>
      <c r="V14" s="9">
        <v>67</v>
      </c>
      <c r="W14" s="9">
        <v>66</v>
      </c>
    </row>
    <row r="15" spans="1:23" ht="15">
      <c r="A15" s="7">
        <v>2011</v>
      </c>
      <c r="B15" s="7">
        <v>2.64</v>
      </c>
      <c r="C15" s="9">
        <v>18629</v>
      </c>
      <c r="D15" s="9">
        <v>17443.147</v>
      </c>
      <c r="E15" s="9">
        <v>78900000</v>
      </c>
      <c r="F15" s="9">
        <v>73877518</v>
      </c>
      <c r="G15" s="9">
        <v>285410</v>
      </c>
      <c r="H15" s="9">
        <v>0</v>
      </c>
      <c r="I15" s="9"/>
      <c r="J15" s="9">
        <v>0.67</v>
      </c>
      <c r="K15" s="9">
        <v>0.66</v>
      </c>
      <c r="L15" s="9">
        <v>0</v>
      </c>
      <c r="M15" s="9">
        <v>0</v>
      </c>
      <c r="N15" s="9">
        <v>107.46</v>
      </c>
      <c r="O15" s="9">
        <v>100.61949</v>
      </c>
      <c r="P15" s="9">
        <v>1</v>
      </c>
      <c r="Q15" s="9">
        <v>0.9707789</v>
      </c>
      <c r="R15" s="9">
        <v>9.766702</v>
      </c>
      <c r="S15" s="9">
        <v>18.11792</v>
      </c>
      <c r="T15" s="9">
        <v>12.56168</v>
      </c>
      <c r="U15" s="9"/>
      <c r="V15" s="9">
        <v>67</v>
      </c>
      <c r="W15" s="9">
        <v>66</v>
      </c>
    </row>
    <row r="16" spans="1:23" ht="15">
      <c r="A16" s="7">
        <v>2012</v>
      </c>
      <c r="B16" s="7">
        <v>3.42</v>
      </c>
      <c r="C16" s="9">
        <v>20278</v>
      </c>
      <c r="D16" s="9">
        <v>19351.323</v>
      </c>
      <c r="E16" s="9">
        <v>10310000</v>
      </c>
      <c r="F16" s="9">
        <v>9838847</v>
      </c>
      <c r="G16" s="9">
        <v>258600</v>
      </c>
      <c r="H16" s="9">
        <v>0</v>
      </c>
      <c r="I16" s="9">
        <v>85.6</v>
      </c>
      <c r="J16" s="9">
        <v>0.67</v>
      </c>
      <c r="K16" s="9">
        <v>0.66</v>
      </c>
      <c r="L16" s="9">
        <v>0</v>
      </c>
      <c r="M16" s="9">
        <v>0</v>
      </c>
      <c r="N16" s="9">
        <v>109.45</v>
      </c>
      <c r="O16" s="9">
        <v>104.44828</v>
      </c>
      <c r="P16" s="9">
        <v>1</v>
      </c>
      <c r="Q16" s="9">
        <v>1.229641</v>
      </c>
      <c r="R16" s="9">
        <v>9.870516</v>
      </c>
      <c r="S16" s="9">
        <v>16.10185</v>
      </c>
      <c r="T16" s="9">
        <v>12.46304</v>
      </c>
      <c r="U16" s="9">
        <v>8560</v>
      </c>
      <c r="V16" s="9">
        <v>67</v>
      </c>
      <c r="W16" s="9">
        <v>66</v>
      </c>
    </row>
    <row r="17" spans="1:23" ht="15">
      <c r="A17" s="7">
        <v>2013</v>
      </c>
      <c r="B17" s="7">
        <v>4.35</v>
      </c>
      <c r="C17" s="9">
        <v>22362</v>
      </c>
      <c r="D17" s="9">
        <v>21714.587</v>
      </c>
      <c r="E17" s="9">
        <v>24470000</v>
      </c>
      <c r="F17" s="9">
        <v>23761558</v>
      </c>
      <c r="G17" s="9">
        <v>173085</v>
      </c>
      <c r="H17" s="9">
        <v>0</v>
      </c>
      <c r="I17" s="9">
        <v>83.3</v>
      </c>
      <c r="J17" s="9">
        <v>0.67</v>
      </c>
      <c r="K17" s="9">
        <v>0.66</v>
      </c>
      <c r="L17" s="9">
        <v>0</v>
      </c>
      <c r="M17" s="9">
        <v>0</v>
      </c>
      <c r="N17" s="9">
        <v>105.87</v>
      </c>
      <c r="O17" s="9">
        <v>102.80491</v>
      </c>
      <c r="P17" s="9">
        <v>1</v>
      </c>
      <c r="Q17" s="9">
        <v>1.470176</v>
      </c>
      <c r="R17" s="9">
        <v>9.98574</v>
      </c>
      <c r="S17" s="9">
        <v>16.98358</v>
      </c>
      <c r="T17" s="9">
        <v>12.06154</v>
      </c>
      <c r="U17" s="9">
        <v>8330</v>
      </c>
      <c r="V17" s="9">
        <v>67</v>
      </c>
      <c r="W17" s="9">
        <v>66</v>
      </c>
    </row>
    <row r="18" spans="1:23" ht="15">
      <c r="A18" s="7">
        <v>2014</v>
      </c>
      <c r="B18" s="7">
        <v>10.1</v>
      </c>
      <c r="C18" s="9">
        <v>23122</v>
      </c>
      <c r="D18" s="9">
        <v>22877.363</v>
      </c>
      <c r="E18" s="9">
        <v>32210000</v>
      </c>
      <c r="F18" s="9">
        <v>31869209</v>
      </c>
      <c r="G18" s="9">
        <v>159607</v>
      </c>
      <c r="H18" s="9">
        <v>0</v>
      </c>
      <c r="I18" s="9">
        <v>82</v>
      </c>
      <c r="J18" s="9">
        <v>0.67</v>
      </c>
      <c r="K18" s="9">
        <v>0.66</v>
      </c>
      <c r="L18" s="9">
        <v>0</v>
      </c>
      <c r="M18" s="9">
        <v>0</v>
      </c>
      <c r="N18" s="9">
        <v>96.29</v>
      </c>
      <c r="O18" s="9">
        <v>95.271225</v>
      </c>
      <c r="P18" s="9">
        <v>1</v>
      </c>
      <c r="Q18" s="9">
        <v>2.312536</v>
      </c>
      <c r="R18" s="9">
        <v>10.0379</v>
      </c>
      <c r="S18" s="9">
        <v>17.27715</v>
      </c>
      <c r="T18" s="9">
        <v>11.98047</v>
      </c>
      <c r="U18" s="9">
        <v>8200</v>
      </c>
      <c r="V18" s="9">
        <v>67</v>
      </c>
      <c r="W18" s="9">
        <v>66</v>
      </c>
    </row>
    <row r="19" spans="1:23" ht="15">
      <c r="A19" s="7">
        <v>2015</v>
      </c>
      <c r="B19" s="7">
        <v>13.99</v>
      </c>
      <c r="C19" s="9">
        <v>24555</v>
      </c>
      <c r="D19" s="9">
        <v>24555</v>
      </c>
      <c r="E19" s="9">
        <v>25440000</v>
      </c>
      <c r="F19" s="9">
        <v>25440000</v>
      </c>
      <c r="G19" s="9">
        <v>116105</v>
      </c>
      <c r="H19" s="9">
        <v>0</v>
      </c>
      <c r="I19" s="9">
        <v>83</v>
      </c>
      <c r="J19" s="9">
        <v>0.67</v>
      </c>
      <c r="K19" s="9">
        <v>0.65</v>
      </c>
      <c r="L19" s="9">
        <v>0</v>
      </c>
      <c r="M19" s="9">
        <v>0</v>
      </c>
      <c r="N19" s="9">
        <v>49.49</v>
      </c>
      <c r="O19" s="9">
        <v>49.49</v>
      </c>
      <c r="P19" s="9">
        <v>1</v>
      </c>
      <c r="Q19" s="9">
        <v>2.638343</v>
      </c>
      <c r="R19" s="9">
        <v>10.10867</v>
      </c>
      <c r="S19" s="9">
        <v>17.05183</v>
      </c>
      <c r="T19" s="9">
        <v>11.66225</v>
      </c>
      <c r="U19" s="9">
        <v>8300</v>
      </c>
      <c r="V19" s="9">
        <v>67</v>
      </c>
      <c r="W19" s="9">
        <v>65</v>
      </c>
    </row>
    <row r="20" spans="1:23" ht="15">
      <c r="A20" s="7">
        <v>2016</v>
      </c>
      <c r="B20" s="7">
        <v>29.53</v>
      </c>
      <c r="C20" s="9">
        <v>25530</v>
      </c>
      <c r="D20" s="9">
        <v>25809.177</v>
      </c>
      <c r="E20" s="9">
        <v>18710000</v>
      </c>
      <c r="F20" s="9">
        <v>18914599</v>
      </c>
      <c r="G20" s="9">
        <v>83369</v>
      </c>
      <c r="H20" s="9">
        <v>0</v>
      </c>
      <c r="I20" s="9">
        <v>82.2</v>
      </c>
      <c r="J20" s="9">
        <v>0.67</v>
      </c>
      <c r="K20" s="9">
        <v>0.65</v>
      </c>
      <c r="L20" s="9">
        <v>0</v>
      </c>
      <c r="M20" s="9">
        <v>0</v>
      </c>
      <c r="N20" s="9">
        <v>40.76</v>
      </c>
      <c r="O20" s="9">
        <v>41.205721</v>
      </c>
      <c r="P20" s="9">
        <v>1</v>
      </c>
      <c r="Q20" s="9">
        <v>3.385407</v>
      </c>
      <c r="R20" s="9">
        <v>10.15849</v>
      </c>
      <c r="S20" s="9">
        <v>16.75545</v>
      </c>
      <c r="T20" s="9">
        <v>11.33103</v>
      </c>
      <c r="U20" s="9">
        <v>8220</v>
      </c>
      <c r="V20" s="9">
        <v>67</v>
      </c>
      <c r="W20" s="9">
        <v>65</v>
      </c>
    </row>
    <row r="21" spans="1:23" ht="15">
      <c r="A21" s="7">
        <v>2017</v>
      </c>
      <c r="B21" s="7">
        <v>29.53</v>
      </c>
      <c r="C21" s="9">
        <v>27708</v>
      </c>
      <c r="D21" s="9">
        <v>28543.421</v>
      </c>
      <c r="E21" s="9"/>
      <c r="F21" s="9">
        <v>0</v>
      </c>
      <c r="G21" s="9">
        <v>131194</v>
      </c>
      <c r="H21" s="9">
        <v>1</v>
      </c>
      <c r="I21" s="9">
        <v>82.4</v>
      </c>
      <c r="J21" s="9">
        <v>0.67</v>
      </c>
      <c r="K21" s="9">
        <v>0.65</v>
      </c>
      <c r="L21" s="9">
        <v>0</v>
      </c>
      <c r="M21" s="9">
        <v>0</v>
      </c>
      <c r="N21" s="9">
        <v>52.51</v>
      </c>
      <c r="O21" s="9">
        <v>54.093223</v>
      </c>
      <c r="P21" s="9">
        <v>1</v>
      </c>
      <c r="Q21" s="9">
        <v>3.385407</v>
      </c>
      <c r="R21" s="9">
        <v>10.25918</v>
      </c>
      <c r="S21" s="9"/>
      <c r="T21" s="9">
        <v>11.78443</v>
      </c>
      <c r="U21" s="9">
        <v>8240</v>
      </c>
      <c r="V21" s="9">
        <v>67</v>
      </c>
      <c r="W21" s="9">
        <v>65</v>
      </c>
    </row>
    <row r="22" spans="1:23" ht="15">
      <c r="A22" s="7">
        <v>2018</v>
      </c>
      <c r="B22" s="7">
        <v>37.3</v>
      </c>
      <c r="C22" s="9">
        <v>22463</v>
      </c>
      <c r="D22" s="9">
        <v>23686.319</v>
      </c>
      <c r="E22" s="9"/>
      <c r="F22" s="9">
        <v>0</v>
      </c>
      <c r="G22" s="9">
        <v>146831</v>
      </c>
      <c r="H22" s="9">
        <v>1</v>
      </c>
      <c r="I22" s="9">
        <v>80.9</v>
      </c>
      <c r="J22" s="9">
        <v>0.68</v>
      </c>
      <c r="K22" s="9">
        <v>0.69</v>
      </c>
      <c r="L22" s="9">
        <v>0</v>
      </c>
      <c r="M22" s="9">
        <v>0</v>
      </c>
      <c r="N22" s="9">
        <v>69.78</v>
      </c>
      <c r="O22" s="9">
        <v>73.580168</v>
      </c>
      <c r="P22" s="9">
        <v>1</v>
      </c>
      <c r="Q22" s="9">
        <v>3.618993</v>
      </c>
      <c r="R22" s="9">
        <v>10.07265</v>
      </c>
      <c r="S22" s="9"/>
      <c r="T22" s="9">
        <v>11.89704</v>
      </c>
      <c r="U22" s="9">
        <v>8090</v>
      </c>
      <c r="V22" s="9">
        <v>68</v>
      </c>
      <c r="W22" s="9">
        <v>69</v>
      </c>
    </row>
    <row r="23" spans="1:23" ht="15">
      <c r="A23" s="7">
        <v>2000</v>
      </c>
      <c r="B23" s="7">
        <v>113.2</v>
      </c>
      <c r="C23" s="9">
        <v>3288</v>
      </c>
      <c r="D23" s="9">
        <v>2449.8709</v>
      </c>
      <c r="E23" s="9">
        <v>14130000</v>
      </c>
      <c r="F23" s="9">
        <v>10528186</v>
      </c>
      <c r="G23" s="9">
        <v>2025000</v>
      </c>
      <c r="H23" s="9">
        <v>0</v>
      </c>
      <c r="I23" s="9">
        <v>25.6</v>
      </c>
      <c r="J23" s="9">
        <v>0.56</v>
      </c>
      <c r="K23" s="9">
        <v>0.63</v>
      </c>
      <c r="L23" s="9">
        <v>0</v>
      </c>
      <c r="M23" s="9">
        <v>1</v>
      </c>
      <c r="N23" s="9">
        <v>27.6</v>
      </c>
      <c r="O23" s="9">
        <v>20.56461</v>
      </c>
      <c r="P23" s="9">
        <v>2</v>
      </c>
      <c r="Q23" s="9">
        <v>4.729156</v>
      </c>
      <c r="R23" s="9">
        <v>7.803791</v>
      </c>
      <c r="S23" s="9">
        <v>16.16957</v>
      </c>
      <c r="T23" s="9">
        <v>14.52108</v>
      </c>
      <c r="U23" s="9">
        <v>2560</v>
      </c>
      <c r="V23" s="9">
        <v>56</v>
      </c>
      <c r="W23" s="9">
        <v>63</v>
      </c>
    </row>
    <row r="24" spans="1:23" ht="15">
      <c r="A24" s="7">
        <v>2001</v>
      </c>
      <c r="B24" s="7">
        <v>98.6</v>
      </c>
      <c r="C24" s="9">
        <v>3906</v>
      </c>
      <c r="D24" s="9">
        <v>2974.1755</v>
      </c>
      <c r="E24" s="9">
        <v>58900002</v>
      </c>
      <c r="F24" s="9">
        <v>44848679</v>
      </c>
      <c r="G24" s="9">
        <v>2231000</v>
      </c>
      <c r="H24" s="9">
        <v>0</v>
      </c>
      <c r="I24" s="9">
        <v>13</v>
      </c>
      <c r="J24" s="9">
        <v>0.56</v>
      </c>
      <c r="K24" s="9">
        <v>0.63</v>
      </c>
      <c r="L24" s="9">
        <v>0</v>
      </c>
      <c r="M24" s="9">
        <v>0</v>
      </c>
      <c r="N24" s="9">
        <v>23.12</v>
      </c>
      <c r="O24" s="9">
        <v>17.604439</v>
      </c>
      <c r="P24" s="9">
        <v>2</v>
      </c>
      <c r="Q24" s="9">
        <v>4.591071</v>
      </c>
      <c r="R24" s="9">
        <v>7.997722</v>
      </c>
      <c r="S24" s="9">
        <v>17.6188</v>
      </c>
      <c r="T24" s="9">
        <v>14.61796</v>
      </c>
      <c r="U24" s="9">
        <v>1300</v>
      </c>
      <c r="V24" s="9">
        <v>56</v>
      </c>
      <c r="W24" s="9">
        <v>63</v>
      </c>
    </row>
    <row r="25" spans="1:23" ht="15">
      <c r="A25" s="7">
        <v>2002</v>
      </c>
      <c r="B25" s="7">
        <v>139</v>
      </c>
      <c r="C25" s="9">
        <v>4526</v>
      </c>
      <c r="D25" s="9">
        <v>3500.7786</v>
      </c>
      <c r="E25" s="9">
        <v>28530001</v>
      </c>
      <c r="F25" s="9">
        <v>22067436</v>
      </c>
      <c r="G25" s="9">
        <v>1965500</v>
      </c>
      <c r="H25" s="9">
        <v>0</v>
      </c>
      <c r="I25" s="9">
        <v>14.7</v>
      </c>
      <c r="J25" s="9">
        <v>0.56</v>
      </c>
      <c r="K25" s="9">
        <v>0.63</v>
      </c>
      <c r="L25" s="9">
        <v>0</v>
      </c>
      <c r="M25" s="9">
        <v>0</v>
      </c>
      <c r="N25" s="9">
        <v>24.36</v>
      </c>
      <c r="O25" s="9">
        <v>18.842016</v>
      </c>
      <c r="P25" s="9">
        <v>2</v>
      </c>
      <c r="Q25" s="9">
        <v>4.934474</v>
      </c>
      <c r="R25" s="9">
        <v>8.160741</v>
      </c>
      <c r="S25" s="9">
        <v>16.90961</v>
      </c>
      <c r="T25" s="9">
        <v>14.49126</v>
      </c>
      <c r="U25" s="9">
        <v>1470</v>
      </c>
      <c r="V25" s="9">
        <v>56</v>
      </c>
      <c r="W25" s="9">
        <v>63</v>
      </c>
    </row>
    <row r="26" spans="1:23" ht="15">
      <c r="A26" s="7">
        <v>2003</v>
      </c>
      <c r="B26" s="7">
        <v>176.7</v>
      </c>
      <c r="C26" s="9">
        <v>4589</v>
      </c>
      <c r="D26" s="9">
        <v>3615.4257</v>
      </c>
      <c r="E26" s="9">
        <v>10550000</v>
      </c>
      <c r="F26" s="9">
        <v>8311776.3</v>
      </c>
      <c r="G26" s="9">
        <v>1775700</v>
      </c>
      <c r="H26" s="9">
        <v>0</v>
      </c>
      <c r="I26" s="9">
        <v>18.4</v>
      </c>
      <c r="J26" s="9">
        <v>0.56</v>
      </c>
      <c r="K26" s="9">
        <v>0.63</v>
      </c>
      <c r="L26" s="9">
        <v>0</v>
      </c>
      <c r="M26" s="9">
        <v>0</v>
      </c>
      <c r="N26" s="9">
        <v>28.1</v>
      </c>
      <c r="O26" s="9">
        <v>22.138475</v>
      </c>
      <c r="P26" s="9">
        <v>2</v>
      </c>
      <c r="Q26" s="9">
        <v>5.174453</v>
      </c>
      <c r="R26" s="9">
        <v>8.192965</v>
      </c>
      <c r="S26" s="9">
        <v>15.93318</v>
      </c>
      <c r="T26" s="9">
        <v>14.38971</v>
      </c>
      <c r="U26" s="9">
        <v>1840</v>
      </c>
      <c r="V26" s="9">
        <v>56</v>
      </c>
      <c r="W26" s="9">
        <v>63</v>
      </c>
    </row>
    <row r="27" spans="1:23" ht="15">
      <c r="A27" s="7">
        <v>2004</v>
      </c>
      <c r="B27" s="7">
        <v>200.9</v>
      </c>
      <c r="C27" s="9">
        <v>4706</v>
      </c>
      <c r="D27" s="9">
        <v>3807.4202</v>
      </c>
      <c r="E27" s="9">
        <v>86750000</v>
      </c>
      <c r="F27" s="9">
        <v>70185658</v>
      </c>
      <c r="G27" s="9">
        <v>1993100</v>
      </c>
      <c r="H27" s="9">
        <v>0</v>
      </c>
      <c r="I27" s="9">
        <v>20</v>
      </c>
      <c r="J27" s="9">
        <v>0.56</v>
      </c>
      <c r="K27" s="9">
        <v>0.63</v>
      </c>
      <c r="L27" s="9">
        <v>0</v>
      </c>
      <c r="M27" s="9">
        <v>0</v>
      </c>
      <c r="N27" s="9">
        <v>36.05</v>
      </c>
      <c r="O27" s="9">
        <v>29.166489</v>
      </c>
      <c r="P27" s="9">
        <v>2</v>
      </c>
      <c r="Q27" s="9">
        <v>5.302807</v>
      </c>
      <c r="R27" s="9">
        <v>8.244707</v>
      </c>
      <c r="S27" s="9">
        <v>18.06665</v>
      </c>
      <c r="T27" s="9">
        <v>14.5052</v>
      </c>
      <c r="U27" s="9">
        <v>2000</v>
      </c>
      <c r="V27" s="9">
        <v>56</v>
      </c>
      <c r="W27" s="9">
        <v>63</v>
      </c>
    </row>
    <row r="28" spans="1:23" ht="15">
      <c r="A28" s="7">
        <v>2005</v>
      </c>
      <c r="B28" s="7">
        <v>224</v>
      </c>
      <c r="C28" s="9">
        <v>5346</v>
      </c>
      <c r="D28" s="9">
        <v>4459.9444</v>
      </c>
      <c r="E28" s="9">
        <v>43750000</v>
      </c>
      <c r="F28" s="9">
        <v>36498797</v>
      </c>
      <c r="G28" s="9">
        <v>1368700</v>
      </c>
      <c r="H28" s="9">
        <v>0</v>
      </c>
      <c r="I28" s="9">
        <v>21</v>
      </c>
      <c r="J28" s="9">
        <v>0.59</v>
      </c>
      <c r="K28" s="9">
        <v>0.63</v>
      </c>
      <c r="L28" s="9">
        <v>0</v>
      </c>
      <c r="M28" s="9">
        <v>0</v>
      </c>
      <c r="N28" s="9">
        <v>50.59</v>
      </c>
      <c r="O28" s="9">
        <v>42.205123</v>
      </c>
      <c r="P28" s="9">
        <v>2</v>
      </c>
      <c r="Q28" s="9">
        <v>5.411646</v>
      </c>
      <c r="R28" s="9">
        <v>8.402891</v>
      </c>
      <c r="S28" s="9">
        <v>17.41279</v>
      </c>
      <c r="T28" s="9">
        <v>14.12937</v>
      </c>
      <c r="U28" s="9">
        <v>2100</v>
      </c>
      <c r="V28" s="9">
        <v>59</v>
      </c>
      <c r="W28" s="9">
        <v>63</v>
      </c>
    </row>
    <row r="29" spans="1:23" ht="15">
      <c r="A29" s="7">
        <v>2006</v>
      </c>
      <c r="B29" s="7">
        <v>251</v>
      </c>
      <c r="C29" s="9">
        <v>5364</v>
      </c>
      <c r="D29" s="9">
        <v>4610.3826</v>
      </c>
      <c r="E29" s="9">
        <v>40700001</v>
      </c>
      <c r="F29" s="9">
        <v>34981837</v>
      </c>
      <c r="G29" s="9">
        <v>1745300</v>
      </c>
      <c r="H29" s="9">
        <v>0</v>
      </c>
      <c r="I29" s="9">
        <v>23.4</v>
      </c>
      <c r="J29" s="9">
        <v>0.59</v>
      </c>
      <c r="K29" s="9">
        <v>0.63</v>
      </c>
      <c r="L29" s="9">
        <v>0</v>
      </c>
      <c r="M29" s="9">
        <v>0</v>
      </c>
      <c r="N29" s="9">
        <v>61</v>
      </c>
      <c r="O29" s="9">
        <v>52.429779</v>
      </c>
      <c r="P29" s="9">
        <v>2</v>
      </c>
      <c r="Q29" s="9">
        <v>5.525453</v>
      </c>
      <c r="R29" s="9">
        <v>8.436066</v>
      </c>
      <c r="S29" s="9">
        <v>17.37034</v>
      </c>
      <c r="T29" s="9">
        <v>14.37244</v>
      </c>
      <c r="U29" s="9">
        <v>2340</v>
      </c>
      <c r="V29" s="9">
        <v>59</v>
      </c>
      <c r="W29" s="9">
        <v>63</v>
      </c>
    </row>
    <row r="30" spans="1:23" ht="15">
      <c r="A30" s="7">
        <v>2007</v>
      </c>
      <c r="B30" s="7">
        <v>240.9</v>
      </c>
      <c r="C30" s="9">
        <v>5624</v>
      </c>
      <c r="D30" s="9">
        <v>4963.7045</v>
      </c>
      <c r="E30" s="9">
        <v>31660000</v>
      </c>
      <c r="F30" s="9">
        <v>27942903</v>
      </c>
      <c r="G30" s="9">
        <v>1968000</v>
      </c>
      <c r="H30" s="9">
        <v>0</v>
      </c>
      <c r="I30" s="9">
        <v>27.3</v>
      </c>
      <c r="J30" s="9">
        <v>0.59</v>
      </c>
      <c r="K30" s="9">
        <v>0.63</v>
      </c>
      <c r="L30" s="9">
        <v>0</v>
      </c>
      <c r="M30" s="9">
        <v>0</v>
      </c>
      <c r="N30" s="9">
        <v>69.04</v>
      </c>
      <c r="O30" s="9">
        <v>60.934239</v>
      </c>
      <c r="P30" s="9">
        <v>2</v>
      </c>
      <c r="Q30" s="9">
        <v>5.484382</v>
      </c>
      <c r="R30" s="9">
        <v>8.509908</v>
      </c>
      <c r="S30" s="9">
        <v>17.14567</v>
      </c>
      <c r="T30" s="9">
        <v>14.49253</v>
      </c>
      <c r="U30" s="9">
        <v>2730</v>
      </c>
      <c r="V30" s="9">
        <v>59</v>
      </c>
      <c r="W30" s="9">
        <v>63</v>
      </c>
    </row>
    <row r="31" spans="1:23" ht="15">
      <c r="A31" s="7">
        <v>2008</v>
      </c>
      <c r="B31" s="7">
        <v>236.8</v>
      </c>
      <c r="C31" s="9">
        <v>6516</v>
      </c>
      <c r="D31" s="9">
        <v>5862.8418</v>
      </c>
      <c r="E31" s="9">
        <v>89809998</v>
      </c>
      <c r="F31" s="9">
        <v>80807522</v>
      </c>
      <c r="G31" s="9">
        <v>1652000</v>
      </c>
      <c r="H31" s="9">
        <v>0</v>
      </c>
      <c r="I31" s="9">
        <v>30.2</v>
      </c>
      <c r="J31" s="9">
        <v>0.59</v>
      </c>
      <c r="K31" s="9">
        <v>0.63</v>
      </c>
      <c r="L31" s="9">
        <v>0</v>
      </c>
      <c r="M31" s="9">
        <v>0</v>
      </c>
      <c r="N31" s="9">
        <v>94.1</v>
      </c>
      <c r="O31" s="9">
        <v>84.667498</v>
      </c>
      <c r="P31" s="9">
        <v>2</v>
      </c>
      <c r="Q31" s="9">
        <v>5.467216</v>
      </c>
      <c r="R31" s="9">
        <v>8.67639</v>
      </c>
      <c r="S31" s="9">
        <v>18.20758</v>
      </c>
      <c r="T31" s="9">
        <v>14.3175</v>
      </c>
      <c r="U31" s="9">
        <v>3020</v>
      </c>
      <c r="V31" s="9">
        <v>59</v>
      </c>
      <c r="W31" s="9">
        <v>63</v>
      </c>
    </row>
    <row r="32" spans="1:23" ht="15">
      <c r="A32" s="7">
        <v>2009</v>
      </c>
      <c r="B32" s="7">
        <v>221.6</v>
      </c>
      <c r="C32" s="9">
        <v>6447</v>
      </c>
      <c r="D32" s="9">
        <v>5844.9804</v>
      </c>
      <c r="E32" s="51">
        <v>152300000</v>
      </c>
      <c r="F32" s="51">
        <v>138100000</v>
      </c>
      <c r="G32" s="9">
        <v>1334600</v>
      </c>
      <c r="H32" s="9">
        <v>1</v>
      </c>
      <c r="I32" s="9">
        <v>28.6</v>
      </c>
      <c r="J32" s="9">
        <v>0.59</v>
      </c>
      <c r="K32" s="9">
        <v>0.63</v>
      </c>
      <c r="L32" s="9">
        <v>0</v>
      </c>
      <c r="M32" s="9">
        <v>0</v>
      </c>
      <c r="N32" s="9">
        <v>60.86</v>
      </c>
      <c r="O32" s="9">
        <v>55.176905</v>
      </c>
      <c r="P32" s="9">
        <v>2</v>
      </c>
      <c r="Q32" s="9">
        <v>5.400874</v>
      </c>
      <c r="R32" s="9">
        <v>8.673339</v>
      </c>
      <c r="S32" s="9">
        <v>18.7432</v>
      </c>
      <c r="T32" s="9">
        <v>14.10414</v>
      </c>
      <c r="U32" s="9">
        <v>2860</v>
      </c>
      <c r="V32" s="9">
        <v>59</v>
      </c>
      <c r="W32" s="9">
        <v>63</v>
      </c>
    </row>
    <row r="33" spans="1:23" ht="15">
      <c r="A33" s="7">
        <v>2010</v>
      </c>
      <c r="B33" s="7">
        <v>226.3</v>
      </c>
      <c r="C33" s="9">
        <v>6935</v>
      </c>
      <c r="D33" s="9">
        <v>6360.6752</v>
      </c>
      <c r="E33" s="51">
        <v>141100000</v>
      </c>
      <c r="F33" s="51">
        <v>129400000</v>
      </c>
      <c r="G33" s="9">
        <v>1390100</v>
      </c>
      <c r="H33" s="9">
        <v>1</v>
      </c>
      <c r="I33" s="9">
        <v>26.4</v>
      </c>
      <c r="J33" s="9">
        <v>0.58</v>
      </c>
      <c r="K33" s="9">
        <v>0.63</v>
      </c>
      <c r="L33" s="9">
        <v>0</v>
      </c>
      <c r="M33" s="9">
        <v>0</v>
      </c>
      <c r="N33" s="9">
        <v>77.38</v>
      </c>
      <c r="O33" s="9">
        <v>70.971744</v>
      </c>
      <c r="P33" s="9">
        <v>2</v>
      </c>
      <c r="Q33" s="9">
        <v>5.421862</v>
      </c>
      <c r="R33" s="9">
        <v>8.75789</v>
      </c>
      <c r="S33" s="9">
        <v>18.67853</v>
      </c>
      <c r="T33" s="9">
        <v>14.14489</v>
      </c>
      <c r="U33" s="9">
        <v>2640</v>
      </c>
      <c r="V33" s="9">
        <v>58</v>
      </c>
      <c r="W33" s="9">
        <v>63</v>
      </c>
    </row>
    <row r="34" spans="1:23" ht="15">
      <c r="A34" s="7">
        <v>2011</v>
      </c>
      <c r="B34" s="7">
        <v>273</v>
      </c>
      <c r="C34" s="9">
        <v>7469</v>
      </c>
      <c r="D34" s="9">
        <v>6993.5511</v>
      </c>
      <c r="E34" s="9">
        <v>41029999</v>
      </c>
      <c r="F34" s="9">
        <v>38418181</v>
      </c>
      <c r="G34" s="9">
        <v>1518300</v>
      </c>
      <c r="H34" s="9">
        <v>1</v>
      </c>
      <c r="I34" s="9">
        <v>26.8</v>
      </c>
      <c r="J34" s="9">
        <v>0.6</v>
      </c>
      <c r="K34" s="9">
        <v>0.63</v>
      </c>
      <c r="L34" s="9">
        <v>0</v>
      </c>
      <c r="M34" s="9">
        <v>0</v>
      </c>
      <c r="N34" s="9">
        <v>107.46</v>
      </c>
      <c r="O34" s="9">
        <v>100.61949</v>
      </c>
      <c r="P34" s="9">
        <v>2</v>
      </c>
      <c r="Q34" s="9">
        <v>5.609472</v>
      </c>
      <c r="R34" s="9">
        <v>8.852744</v>
      </c>
      <c r="S34" s="9">
        <v>17.46404</v>
      </c>
      <c r="T34" s="9">
        <v>14.2331</v>
      </c>
      <c r="U34" s="9">
        <v>2680</v>
      </c>
      <c r="V34" s="9">
        <v>60</v>
      </c>
      <c r="W34" s="9">
        <v>63</v>
      </c>
    </row>
    <row r="35" spans="1:23" ht="15">
      <c r="A35" s="7">
        <v>2012</v>
      </c>
      <c r="B35" s="7">
        <v>288.7</v>
      </c>
      <c r="C35" s="9">
        <v>7919</v>
      </c>
      <c r="D35" s="9">
        <v>7557.1124</v>
      </c>
      <c r="E35" s="9">
        <v>28059999</v>
      </c>
      <c r="F35" s="9">
        <v>26777696</v>
      </c>
      <c r="G35" s="9">
        <v>1475200</v>
      </c>
      <c r="H35" s="9">
        <v>1</v>
      </c>
      <c r="I35" s="9">
        <v>29</v>
      </c>
      <c r="J35" s="9">
        <v>0.6</v>
      </c>
      <c r="K35" s="9">
        <v>0.63</v>
      </c>
      <c r="L35" s="9">
        <v>0</v>
      </c>
      <c r="M35" s="9">
        <v>0</v>
      </c>
      <c r="N35" s="9">
        <v>109.45</v>
      </c>
      <c r="O35" s="9">
        <v>104.44828</v>
      </c>
      <c r="P35" s="9">
        <v>2</v>
      </c>
      <c r="Q35" s="9">
        <v>5.665388</v>
      </c>
      <c r="R35" s="9">
        <v>8.930244</v>
      </c>
      <c r="S35" s="9">
        <v>17.10308</v>
      </c>
      <c r="T35" s="9">
        <v>14.2043</v>
      </c>
      <c r="U35" s="9">
        <v>2900</v>
      </c>
      <c r="V35" s="9">
        <v>60</v>
      </c>
      <c r="W35" s="9">
        <v>63</v>
      </c>
    </row>
    <row r="36" spans="1:23" ht="15">
      <c r="A36" s="7">
        <v>2013</v>
      </c>
      <c r="B36" s="7">
        <v>273.4</v>
      </c>
      <c r="C36" s="9">
        <v>7249</v>
      </c>
      <c r="D36" s="9">
        <v>7039.1309</v>
      </c>
      <c r="E36" s="9">
        <v>71589996</v>
      </c>
      <c r="F36" s="9">
        <v>69517361</v>
      </c>
      <c r="G36" s="9">
        <v>1402600</v>
      </c>
      <c r="H36" s="9">
        <v>1</v>
      </c>
      <c r="I36" s="9">
        <v>29.8</v>
      </c>
      <c r="J36" s="9">
        <v>0.62</v>
      </c>
      <c r="K36" s="9">
        <v>0.65</v>
      </c>
      <c r="L36" s="9">
        <v>0</v>
      </c>
      <c r="M36" s="9">
        <v>0</v>
      </c>
      <c r="N36" s="9">
        <v>105.87</v>
      </c>
      <c r="O36" s="9">
        <v>102.80491</v>
      </c>
      <c r="P36" s="9">
        <v>2</v>
      </c>
      <c r="Q36" s="9">
        <v>5.610936</v>
      </c>
      <c r="R36" s="9">
        <v>8.85924</v>
      </c>
      <c r="S36" s="9">
        <v>18.05709</v>
      </c>
      <c r="T36" s="9">
        <v>14.15384</v>
      </c>
      <c r="U36" s="9">
        <v>2980</v>
      </c>
      <c r="V36" s="9">
        <v>62</v>
      </c>
      <c r="W36" s="9">
        <v>65</v>
      </c>
    </row>
    <row r="37" spans="1:23" ht="15">
      <c r="A37" s="7">
        <v>2014</v>
      </c>
      <c r="B37" s="7">
        <v>294.6</v>
      </c>
      <c r="C37" s="9">
        <v>6950</v>
      </c>
      <c r="D37" s="9">
        <v>6876.4671</v>
      </c>
      <c r="E37" s="9">
        <v>95989998</v>
      </c>
      <c r="F37" s="9">
        <v>94974397</v>
      </c>
      <c r="G37" s="9">
        <v>1779300</v>
      </c>
      <c r="H37" s="9">
        <v>1</v>
      </c>
      <c r="I37" s="9">
        <v>29.3</v>
      </c>
      <c r="J37" s="9">
        <v>0.66</v>
      </c>
      <c r="K37" s="9">
        <v>0.65</v>
      </c>
      <c r="L37" s="9">
        <v>0</v>
      </c>
      <c r="M37" s="9">
        <v>0</v>
      </c>
      <c r="N37" s="9">
        <v>96.29</v>
      </c>
      <c r="O37" s="9">
        <v>95.271225</v>
      </c>
      <c r="P37" s="9">
        <v>2</v>
      </c>
      <c r="Q37" s="9">
        <v>5.685618</v>
      </c>
      <c r="R37" s="9">
        <v>8.83586</v>
      </c>
      <c r="S37" s="9">
        <v>18.36912</v>
      </c>
      <c r="T37" s="9">
        <v>14.39173</v>
      </c>
      <c r="U37" s="9">
        <v>2930</v>
      </c>
      <c r="V37" s="9">
        <v>66</v>
      </c>
      <c r="W37" s="9">
        <v>65</v>
      </c>
    </row>
    <row r="38" spans="1:23" ht="15">
      <c r="A38" s="7">
        <v>2015</v>
      </c>
      <c r="B38" s="7">
        <v>294.6</v>
      </c>
      <c r="C38" s="9">
        <v>6238</v>
      </c>
      <c r="D38" s="9">
        <v>6238</v>
      </c>
      <c r="E38" s="9">
        <v>59070000</v>
      </c>
      <c r="F38" s="9">
        <v>59070000</v>
      </c>
      <c r="G38" s="9">
        <v>1572400</v>
      </c>
      <c r="H38" s="9">
        <v>1</v>
      </c>
      <c r="I38" s="9">
        <v>30</v>
      </c>
      <c r="J38" s="9">
        <v>0.66</v>
      </c>
      <c r="K38" s="9">
        <v>0.65</v>
      </c>
      <c r="L38" s="9">
        <v>1</v>
      </c>
      <c r="M38" s="9">
        <v>0</v>
      </c>
      <c r="N38" s="9">
        <v>49.49</v>
      </c>
      <c r="O38" s="9">
        <v>49.49</v>
      </c>
      <c r="P38" s="9">
        <v>2</v>
      </c>
      <c r="Q38" s="9">
        <v>5.685618</v>
      </c>
      <c r="R38" s="9">
        <v>8.738415</v>
      </c>
      <c r="S38" s="9">
        <v>17.89423</v>
      </c>
      <c r="T38" s="9">
        <v>14.26811</v>
      </c>
      <c r="U38" s="9">
        <v>3000</v>
      </c>
      <c r="V38" s="9">
        <v>66</v>
      </c>
      <c r="W38" s="9">
        <v>65</v>
      </c>
    </row>
    <row r="39" spans="1:23" ht="15">
      <c r="A39" s="7">
        <v>2016</v>
      </c>
      <c r="B39" s="7">
        <v>345.2</v>
      </c>
      <c r="C39" s="9">
        <v>5605</v>
      </c>
      <c r="D39" s="9">
        <v>5666.2921</v>
      </c>
      <c r="E39" s="9">
        <v>26850000</v>
      </c>
      <c r="F39" s="9">
        <v>27143612</v>
      </c>
      <c r="G39" s="9">
        <v>1127100</v>
      </c>
      <c r="H39" s="9">
        <v>1</v>
      </c>
      <c r="I39" s="9">
        <v>32</v>
      </c>
      <c r="J39" s="9">
        <v>0.66</v>
      </c>
      <c r="K39" s="9">
        <v>0.64</v>
      </c>
      <c r="L39" s="9">
        <v>1</v>
      </c>
      <c r="M39" s="9">
        <v>0</v>
      </c>
      <c r="N39" s="9">
        <v>40.76</v>
      </c>
      <c r="O39" s="9">
        <v>41.205721</v>
      </c>
      <c r="P39" s="9">
        <v>2</v>
      </c>
      <c r="Q39" s="9">
        <v>5.844124</v>
      </c>
      <c r="R39" s="9">
        <v>8.64229</v>
      </c>
      <c r="S39" s="9">
        <v>17.11665</v>
      </c>
      <c r="T39" s="9">
        <v>13.93516</v>
      </c>
      <c r="U39" s="9">
        <v>3200</v>
      </c>
      <c r="V39" s="9">
        <v>66</v>
      </c>
      <c r="W39" s="9">
        <v>64</v>
      </c>
    </row>
    <row r="40" spans="1:23" ht="15">
      <c r="A40" s="7">
        <v>2017</v>
      </c>
      <c r="B40" s="7">
        <v>511.7</v>
      </c>
      <c r="C40" s="9">
        <v>5206</v>
      </c>
      <c r="D40" s="9">
        <v>5362.9655</v>
      </c>
      <c r="E40" s="9">
        <v>61430000</v>
      </c>
      <c r="F40" s="9">
        <v>63282169</v>
      </c>
      <c r="G40" s="9">
        <v>1131200</v>
      </c>
      <c r="H40" s="9">
        <v>1</v>
      </c>
      <c r="I40" s="9">
        <v>36.5</v>
      </c>
      <c r="J40" s="9">
        <v>0.68</v>
      </c>
      <c r="K40" s="9">
        <v>0.64</v>
      </c>
      <c r="L40" s="9">
        <v>1</v>
      </c>
      <c r="M40" s="9">
        <v>0</v>
      </c>
      <c r="N40" s="9">
        <v>52.51</v>
      </c>
      <c r="O40" s="9">
        <v>54.093223</v>
      </c>
      <c r="P40" s="9">
        <v>2</v>
      </c>
      <c r="Q40" s="9">
        <v>6.237739</v>
      </c>
      <c r="R40" s="9">
        <v>8.587273</v>
      </c>
      <c r="S40" s="9">
        <v>17.96311</v>
      </c>
      <c r="T40" s="9">
        <v>13.93879</v>
      </c>
      <c r="U40" s="9">
        <v>3650</v>
      </c>
      <c r="V40" s="9">
        <v>68</v>
      </c>
      <c r="W40" s="9">
        <v>64</v>
      </c>
    </row>
    <row r="41" spans="1:23" ht="15">
      <c r="A41" s="7">
        <v>2018</v>
      </c>
      <c r="B41" s="7">
        <v>540</v>
      </c>
      <c r="C41" s="9">
        <v>5095</v>
      </c>
      <c r="D41" s="9">
        <v>5372.47</v>
      </c>
      <c r="E41" s="9">
        <v>98790001</v>
      </c>
      <c r="F41" s="51">
        <v>104200000</v>
      </c>
      <c r="G41" s="9">
        <v>1028400</v>
      </c>
      <c r="H41" s="9">
        <v>1</v>
      </c>
      <c r="I41" s="9">
        <v>38.1</v>
      </c>
      <c r="J41" s="9">
        <v>0.71</v>
      </c>
      <c r="K41" s="9">
        <v>0.63</v>
      </c>
      <c r="L41" s="9">
        <v>1</v>
      </c>
      <c r="M41" s="9">
        <v>0</v>
      </c>
      <c r="N41" s="9">
        <v>69.78</v>
      </c>
      <c r="O41" s="9">
        <v>73.580168</v>
      </c>
      <c r="P41" s="9">
        <v>2</v>
      </c>
      <c r="Q41" s="9">
        <v>6.291569</v>
      </c>
      <c r="R41" s="9">
        <v>8.589043</v>
      </c>
      <c r="S41" s="9">
        <v>18.46153</v>
      </c>
      <c r="T41" s="9">
        <v>13.84351</v>
      </c>
      <c r="U41" s="9">
        <v>3810</v>
      </c>
      <c r="V41" s="9">
        <v>71</v>
      </c>
      <c r="W41" s="9">
        <v>63</v>
      </c>
    </row>
    <row r="42" spans="1:23" ht="15">
      <c r="A42" s="7">
        <v>2000</v>
      </c>
      <c r="B42" s="7">
        <v>525.8</v>
      </c>
      <c r="C42" s="9">
        <v>2482</v>
      </c>
      <c r="D42" s="9">
        <v>1849.3247</v>
      </c>
      <c r="E42" s="9">
        <v>20750000</v>
      </c>
      <c r="F42" s="9">
        <v>15460712</v>
      </c>
      <c r="G42" s="9">
        <v>5109500</v>
      </c>
      <c r="H42" s="9">
        <v>0</v>
      </c>
      <c r="I42" s="9">
        <v>56.5</v>
      </c>
      <c r="J42" s="9">
        <v>0.73</v>
      </c>
      <c r="K42" s="9">
        <v>0.54</v>
      </c>
      <c r="L42" s="9">
        <v>0</v>
      </c>
      <c r="M42" s="9">
        <v>1</v>
      </c>
      <c r="N42" s="9">
        <v>27.6</v>
      </c>
      <c r="O42" s="9">
        <v>20.56461</v>
      </c>
      <c r="P42" s="9">
        <v>3</v>
      </c>
      <c r="Q42" s="9">
        <v>6.264921</v>
      </c>
      <c r="R42" s="9">
        <v>7.522576</v>
      </c>
      <c r="S42" s="9">
        <v>16.55381</v>
      </c>
      <c r="T42" s="9">
        <v>15.44661</v>
      </c>
      <c r="U42" s="9">
        <v>5650</v>
      </c>
      <c r="V42" s="9">
        <v>73</v>
      </c>
      <c r="W42" s="9">
        <v>54</v>
      </c>
    </row>
    <row r="43" spans="1:23" ht="15">
      <c r="A43" s="7">
        <v>2001</v>
      </c>
      <c r="B43" s="7">
        <v>548</v>
      </c>
      <c r="C43" s="9">
        <v>2469</v>
      </c>
      <c r="D43" s="9">
        <v>1879.9896</v>
      </c>
      <c r="E43" s="9">
        <v>21280001</v>
      </c>
      <c r="F43" s="9">
        <v>16203394</v>
      </c>
      <c r="G43" s="9">
        <v>5792300</v>
      </c>
      <c r="H43" s="9">
        <v>0</v>
      </c>
      <c r="I43" s="9">
        <v>56.9</v>
      </c>
      <c r="J43" s="9">
        <v>0.73</v>
      </c>
      <c r="K43" s="9">
        <v>0.54</v>
      </c>
      <c r="L43" s="9">
        <v>0</v>
      </c>
      <c r="M43" s="9">
        <v>1</v>
      </c>
      <c r="N43" s="9">
        <v>23.12</v>
      </c>
      <c r="O43" s="9">
        <v>17.604439</v>
      </c>
      <c r="P43" s="9">
        <v>3</v>
      </c>
      <c r="Q43" s="9">
        <v>6.306275</v>
      </c>
      <c r="R43" s="9">
        <v>7.539021</v>
      </c>
      <c r="S43" s="9">
        <v>16.60073</v>
      </c>
      <c r="T43" s="9">
        <v>15.57204</v>
      </c>
      <c r="U43" s="9">
        <v>5690</v>
      </c>
      <c r="V43" s="9">
        <v>73</v>
      </c>
      <c r="W43" s="9">
        <v>54</v>
      </c>
    </row>
    <row r="44" spans="1:23" ht="15">
      <c r="A44" s="7">
        <v>2002</v>
      </c>
      <c r="B44" s="7">
        <v>537.7</v>
      </c>
      <c r="C44" s="9">
        <v>2838</v>
      </c>
      <c r="D44" s="9">
        <v>2195.1413</v>
      </c>
      <c r="E44" s="9">
        <v>23850000</v>
      </c>
      <c r="F44" s="9">
        <v>18447541</v>
      </c>
      <c r="G44" s="9">
        <v>4873900</v>
      </c>
      <c r="H44" s="9">
        <v>0</v>
      </c>
      <c r="I44" s="9">
        <v>57.7</v>
      </c>
      <c r="J44" s="9">
        <v>0.73</v>
      </c>
      <c r="K44" s="9">
        <v>0.54</v>
      </c>
      <c r="L44" s="9">
        <v>0</v>
      </c>
      <c r="M44" s="9">
        <v>1</v>
      </c>
      <c r="N44" s="9">
        <v>24.36</v>
      </c>
      <c r="O44" s="9">
        <v>18.842016</v>
      </c>
      <c r="P44" s="9">
        <v>3</v>
      </c>
      <c r="Q44" s="9">
        <v>6.287301</v>
      </c>
      <c r="R44" s="9">
        <v>7.694002</v>
      </c>
      <c r="S44" s="9">
        <v>16.73044</v>
      </c>
      <c r="T44" s="9">
        <v>15.3994</v>
      </c>
      <c r="U44" s="9">
        <v>5770</v>
      </c>
      <c r="V44" s="9">
        <v>73</v>
      </c>
      <c r="W44" s="9">
        <v>54</v>
      </c>
    </row>
    <row r="45" spans="1:23" ht="15">
      <c r="A45" s="7">
        <v>2003</v>
      </c>
      <c r="B45" s="7">
        <v>566.6</v>
      </c>
      <c r="C45" s="9">
        <v>3593</v>
      </c>
      <c r="D45" s="9">
        <v>2830.731</v>
      </c>
      <c r="E45" s="9">
        <v>-14520000</v>
      </c>
      <c r="F45" s="9">
        <v>-11439525</v>
      </c>
      <c r="G45" s="9">
        <v>5199384</v>
      </c>
      <c r="H45" s="9">
        <v>0</v>
      </c>
      <c r="I45" s="9">
        <v>70.6</v>
      </c>
      <c r="J45" s="9">
        <v>0.73</v>
      </c>
      <c r="K45" s="9">
        <v>0.54</v>
      </c>
      <c r="L45" s="9">
        <v>0</v>
      </c>
      <c r="M45" s="9">
        <v>1</v>
      </c>
      <c r="N45" s="9">
        <v>28.1</v>
      </c>
      <c r="O45" s="9">
        <v>22.138475</v>
      </c>
      <c r="P45" s="9">
        <v>3</v>
      </c>
      <c r="Q45" s="9">
        <v>6.339653</v>
      </c>
      <c r="R45" s="9">
        <v>7.94829</v>
      </c>
      <c r="S45" s="9"/>
      <c r="T45" s="9">
        <v>15.46405</v>
      </c>
      <c r="U45" s="9">
        <v>7060</v>
      </c>
      <c r="V45" s="9">
        <v>73</v>
      </c>
      <c r="W45" s="9">
        <v>54</v>
      </c>
    </row>
    <row r="46" spans="1:23" ht="15">
      <c r="A46" s="7">
        <v>2004</v>
      </c>
      <c r="B46" s="7">
        <v>592.3</v>
      </c>
      <c r="C46" s="9">
        <v>3488</v>
      </c>
      <c r="D46" s="9">
        <v>2821.9893</v>
      </c>
      <c r="E46" s="9">
        <v>32799999</v>
      </c>
      <c r="F46" s="9">
        <v>26537055</v>
      </c>
      <c r="G46" s="9">
        <v>5280370</v>
      </c>
      <c r="H46" s="9">
        <v>0</v>
      </c>
      <c r="I46" s="9">
        <v>70.9</v>
      </c>
      <c r="J46" s="9">
        <v>0.73</v>
      </c>
      <c r="K46" s="9">
        <v>0.54</v>
      </c>
      <c r="L46" s="9">
        <v>0</v>
      </c>
      <c r="M46" s="9">
        <v>1</v>
      </c>
      <c r="N46" s="9">
        <v>36.05</v>
      </c>
      <c r="O46" s="9">
        <v>29.166489</v>
      </c>
      <c r="P46" s="9">
        <v>3</v>
      </c>
      <c r="Q46" s="9">
        <v>6.384013</v>
      </c>
      <c r="R46" s="9">
        <v>7.945198</v>
      </c>
      <c r="S46" s="9">
        <v>17.09405</v>
      </c>
      <c r="T46" s="9">
        <v>15.47951</v>
      </c>
      <c r="U46" s="9">
        <v>7090</v>
      </c>
      <c r="V46" s="9">
        <v>73</v>
      </c>
      <c r="W46" s="9">
        <v>54</v>
      </c>
    </row>
    <row r="47" spans="1:23" ht="15">
      <c r="A47" s="7">
        <v>2005</v>
      </c>
      <c r="B47" s="7">
        <v>568.2</v>
      </c>
      <c r="C47" s="9">
        <v>3445</v>
      </c>
      <c r="D47" s="9">
        <v>2874.0196</v>
      </c>
      <c r="E47" s="9">
        <v>34400002</v>
      </c>
      <c r="F47" s="9">
        <v>28698484</v>
      </c>
      <c r="G47" s="9">
        <v>4984058</v>
      </c>
      <c r="H47" s="9">
        <v>0</v>
      </c>
      <c r="I47" s="9">
        <v>72.9</v>
      </c>
      <c r="J47" s="9">
        <v>0.73</v>
      </c>
      <c r="K47" s="9">
        <v>0.54</v>
      </c>
      <c r="L47" s="9">
        <v>1</v>
      </c>
      <c r="M47" s="9">
        <v>1</v>
      </c>
      <c r="N47" s="9">
        <v>50.59</v>
      </c>
      <c r="O47" s="9">
        <v>42.205123</v>
      </c>
      <c r="P47" s="9">
        <v>3</v>
      </c>
      <c r="Q47" s="9">
        <v>6.342474</v>
      </c>
      <c r="R47" s="9">
        <v>7.963467</v>
      </c>
      <c r="S47" s="9">
        <v>17.17236</v>
      </c>
      <c r="T47" s="9">
        <v>15.42175</v>
      </c>
      <c r="U47" s="9">
        <v>7290</v>
      </c>
      <c r="V47" s="9">
        <v>73</v>
      </c>
      <c r="W47" s="9">
        <v>54</v>
      </c>
    </row>
    <row r="48" spans="1:23" ht="15">
      <c r="A48" s="7">
        <v>2006</v>
      </c>
      <c r="B48" s="7">
        <v>522.7</v>
      </c>
      <c r="C48" s="9">
        <v>3424</v>
      </c>
      <c r="D48" s="9">
        <v>2942.9437</v>
      </c>
      <c r="E48" s="9">
        <v>19129999</v>
      </c>
      <c r="F48" s="9">
        <v>16442322</v>
      </c>
      <c r="G48" s="9">
        <v>4748973</v>
      </c>
      <c r="H48" s="9">
        <v>0</v>
      </c>
      <c r="I48" s="9">
        <v>68.7</v>
      </c>
      <c r="J48" s="9">
        <v>0.73</v>
      </c>
      <c r="K48" s="9">
        <v>0.54</v>
      </c>
      <c r="L48" s="9">
        <v>1</v>
      </c>
      <c r="M48" s="9">
        <v>1</v>
      </c>
      <c r="N48" s="9">
        <v>61</v>
      </c>
      <c r="O48" s="9">
        <v>52.429779</v>
      </c>
      <c r="P48" s="9">
        <v>3</v>
      </c>
      <c r="Q48" s="9">
        <v>6.259007</v>
      </c>
      <c r="R48" s="9">
        <v>7.987165</v>
      </c>
      <c r="S48" s="9">
        <v>16.61537</v>
      </c>
      <c r="T48" s="9">
        <v>15.37344</v>
      </c>
      <c r="U48" s="9">
        <v>6870</v>
      </c>
      <c r="V48" s="9">
        <v>73</v>
      </c>
      <c r="W48" s="9">
        <v>54</v>
      </c>
    </row>
    <row r="49" spans="1:23" ht="15">
      <c r="A49" s="7">
        <v>2007</v>
      </c>
      <c r="B49" s="7">
        <v>552.2</v>
      </c>
      <c r="C49" s="9">
        <v>3529</v>
      </c>
      <c r="D49" s="9">
        <v>3114.6716</v>
      </c>
      <c r="E49" s="9">
        <v>69209999</v>
      </c>
      <c r="F49" s="9">
        <v>61084279</v>
      </c>
      <c r="G49" s="9">
        <v>4235849</v>
      </c>
      <c r="H49" s="9">
        <v>0</v>
      </c>
      <c r="I49" s="9">
        <v>71.7</v>
      </c>
      <c r="J49" s="9">
        <v>0.73</v>
      </c>
      <c r="K49" s="9">
        <v>0.55</v>
      </c>
      <c r="L49" s="9">
        <v>1</v>
      </c>
      <c r="M49" s="9">
        <v>1</v>
      </c>
      <c r="N49" s="9">
        <v>69.04</v>
      </c>
      <c r="O49" s="9">
        <v>60.934239</v>
      </c>
      <c r="P49" s="9">
        <v>3</v>
      </c>
      <c r="Q49" s="9">
        <v>6.31391</v>
      </c>
      <c r="R49" s="9">
        <v>8.043879</v>
      </c>
      <c r="S49" s="9">
        <v>17.92776</v>
      </c>
      <c r="T49" s="9">
        <v>15.25909</v>
      </c>
      <c r="U49" s="9">
        <v>7170</v>
      </c>
      <c r="V49" s="9">
        <v>73</v>
      </c>
      <c r="W49" s="9">
        <v>55</v>
      </c>
    </row>
    <row r="50" spans="1:23" ht="15">
      <c r="A50" s="7">
        <v>2008</v>
      </c>
      <c r="B50" s="7">
        <v>594.8</v>
      </c>
      <c r="C50" s="9">
        <v>4021</v>
      </c>
      <c r="D50" s="9">
        <v>3617.9385</v>
      </c>
      <c r="E50" s="51">
        <v>108700000</v>
      </c>
      <c r="F50" s="9">
        <v>97786012</v>
      </c>
      <c r="G50" s="9">
        <v>4533000</v>
      </c>
      <c r="H50" s="9">
        <v>0</v>
      </c>
      <c r="I50" s="9">
        <v>81.8</v>
      </c>
      <c r="J50" s="9">
        <v>0.73</v>
      </c>
      <c r="K50" s="9">
        <v>0.54</v>
      </c>
      <c r="L50" s="9">
        <v>1</v>
      </c>
      <c r="M50" s="9">
        <v>1</v>
      </c>
      <c r="N50" s="9">
        <v>94.1</v>
      </c>
      <c r="O50" s="9">
        <v>84.667498</v>
      </c>
      <c r="P50" s="9">
        <v>3</v>
      </c>
      <c r="Q50" s="9">
        <v>6.388225</v>
      </c>
      <c r="R50" s="9">
        <v>8.19366</v>
      </c>
      <c r="S50" s="9">
        <v>18.39829</v>
      </c>
      <c r="T50" s="9">
        <v>15.32689</v>
      </c>
      <c r="U50" s="9">
        <v>8180</v>
      </c>
      <c r="V50" s="9">
        <v>73</v>
      </c>
      <c r="W50" s="9">
        <v>54</v>
      </c>
    </row>
    <row r="51" spans="1:23" ht="15">
      <c r="A51" s="7">
        <v>2009</v>
      </c>
      <c r="B51" s="7">
        <v>608.9</v>
      </c>
      <c r="C51" s="9">
        <v>4339</v>
      </c>
      <c r="D51" s="9">
        <v>3933.825</v>
      </c>
      <c r="E51" s="51">
        <v>156000000</v>
      </c>
      <c r="F51" s="51">
        <v>141500000</v>
      </c>
      <c r="G51" s="9">
        <v>4667235</v>
      </c>
      <c r="H51" s="9">
        <v>1</v>
      </c>
      <c r="I51" s="9">
        <v>80.1</v>
      </c>
      <c r="J51" s="9">
        <v>0.73</v>
      </c>
      <c r="K51" s="9">
        <v>0.54</v>
      </c>
      <c r="L51" s="9">
        <v>1</v>
      </c>
      <c r="M51" s="9">
        <v>1</v>
      </c>
      <c r="N51" s="9">
        <v>60.86</v>
      </c>
      <c r="O51" s="9">
        <v>55.176905</v>
      </c>
      <c r="P51" s="9">
        <v>3</v>
      </c>
      <c r="Q51" s="9">
        <v>6.411654</v>
      </c>
      <c r="R51" s="9">
        <v>8.277368</v>
      </c>
      <c r="S51" s="9">
        <v>18.76753</v>
      </c>
      <c r="T51" s="9">
        <v>15.35608</v>
      </c>
      <c r="U51" s="9">
        <v>8010</v>
      </c>
      <c r="V51" s="9">
        <v>73</v>
      </c>
      <c r="W51" s="9">
        <v>54</v>
      </c>
    </row>
    <row r="52" spans="1:23" ht="15">
      <c r="A52" s="7">
        <v>2010</v>
      </c>
      <c r="B52" s="7">
        <v>577.3</v>
      </c>
      <c r="C52" s="9">
        <v>4570</v>
      </c>
      <c r="D52" s="9">
        <v>4191.5336</v>
      </c>
      <c r="E52" s="51">
        <v>124600000</v>
      </c>
      <c r="F52" s="51">
        <v>114300000</v>
      </c>
      <c r="G52" s="9">
        <v>4365833</v>
      </c>
      <c r="H52" s="9">
        <v>1</v>
      </c>
      <c r="I52" s="9">
        <v>85.4</v>
      </c>
      <c r="J52" s="9">
        <v>0.72</v>
      </c>
      <c r="K52" s="9">
        <v>0.56</v>
      </c>
      <c r="L52" s="9">
        <v>1</v>
      </c>
      <c r="M52" s="9">
        <v>1</v>
      </c>
      <c r="N52" s="9">
        <v>77.38</v>
      </c>
      <c r="O52" s="9">
        <v>70.971744</v>
      </c>
      <c r="P52" s="9">
        <v>3</v>
      </c>
      <c r="Q52" s="9">
        <v>6.358362</v>
      </c>
      <c r="R52" s="9">
        <v>8.340822</v>
      </c>
      <c r="S52" s="9">
        <v>18.55409</v>
      </c>
      <c r="T52" s="9">
        <v>15.28932</v>
      </c>
      <c r="U52" s="9">
        <v>8540</v>
      </c>
      <c r="V52" s="9">
        <v>72</v>
      </c>
      <c r="W52" s="9">
        <v>56</v>
      </c>
    </row>
    <row r="53" spans="1:23" ht="15">
      <c r="A53" s="7">
        <v>2011</v>
      </c>
      <c r="B53" s="7">
        <v>548.9</v>
      </c>
      <c r="C53" s="9">
        <v>5276</v>
      </c>
      <c r="D53" s="9">
        <v>4940.1493</v>
      </c>
      <c r="E53" s="51">
        <v>185700000</v>
      </c>
      <c r="F53" s="51">
        <v>173900000</v>
      </c>
      <c r="G53" s="9">
        <v>4230173</v>
      </c>
      <c r="H53" s="9">
        <v>1</v>
      </c>
      <c r="I53" s="9">
        <v>89.3</v>
      </c>
      <c r="J53" s="9">
        <v>0.72</v>
      </c>
      <c r="K53" s="9">
        <v>0.56</v>
      </c>
      <c r="L53" s="9">
        <v>1</v>
      </c>
      <c r="M53" s="9">
        <v>1</v>
      </c>
      <c r="N53" s="9">
        <v>107.46</v>
      </c>
      <c r="O53" s="9">
        <v>100.61949</v>
      </c>
      <c r="P53" s="9">
        <v>3</v>
      </c>
      <c r="Q53" s="9">
        <v>6.307916</v>
      </c>
      <c r="R53" s="9">
        <v>8.505151</v>
      </c>
      <c r="S53" s="9">
        <v>18.97382</v>
      </c>
      <c r="T53" s="9">
        <v>15.25775</v>
      </c>
      <c r="U53" s="9">
        <v>8930</v>
      </c>
      <c r="V53" s="9">
        <v>72</v>
      </c>
      <c r="W53" s="9">
        <v>56</v>
      </c>
    </row>
    <row r="54" spans="1:23" ht="15">
      <c r="A54" s="7">
        <v>2012</v>
      </c>
      <c r="B54" s="7">
        <v>566</v>
      </c>
      <c r="C54" s="9">
        <v>5271</v>
      </c>
      <c r="D54" s="9">
        <v>5030.1224</v>
      </c>
      <c r="E54" s="51">
        <v>176700000</v>
      </c>
      <c r="F54" s="51">
        <v>168600000</v>
      </c>
      <c r="G54" s="9">
        <v>3947285</v>
      </c>
      <c r="H54" s="9">
        <v>1</v>
      </c>
      <c r="I54" s="9">
        <v>98.8</v>
      </c>
      <c r="J54" s="9">
        <v>0.72</v>
      </c>
      <c r="K54" s="9">
        <v>0.56</v>
      </c>
      <c r="L54" s="9">
        <v>1</v>
      </c>
      <c r="M54" s="9">
        <v>1</v>
      </c>
      <c r="N54" s="9">
        <v>109.45</v>
      </c>
      <c r="O54" s="9">
        <v>104.44828</v>
      </c>
      <c r="P54" s="9">
        <v>3</v>
      </c>
      <c r="Q54" s="9">
        <v>6.338594</v>
      </c>
      <c r="R54" s="9">
        <v>8.5232</v>
      </c>
      <c r="S54" s="9">
        <v>18.94308</v>
      </c>
      <c r="T54" s="9">
        <v>15.18854</v>
      </c>
      <c r="U54" s="9">
        <v>9880</v>
      </c>
      <c r="V54" s="9">
        <v>72</v>
      </c>
      <c r="W54" s="9">
        <v>56</v>
      </c>
    </row>
    <row r="55" spans="1:23" ht="15">
      <c r="A55" s="7">
        <v>2013</v>
      </c>
      <c r="B55" s="7">
        <v>593.9</v>
      </c>
      <c r="C55" s="9">
        <v>5690</v>
      </c>
      <c r="D55" s="9">
        <v>5525.2662</v>
      </c>
      <c r="E55" s="51">
        <v>145700000</v>
      </c>
      <c r="F55" s="51">
        <v>141500000</v>
      </c>
      <c r="G55" s="9">
        <v>3815782</v>
      </c>
      <c r="H55" s="9">
        <v>1</v>
      </c>
      <c r="I55" s="9">
        <v>106.3</v>
      </c>
      <c r="J55" s="9">
        <v>0.67</v>
      </c>
      <c r="K55" s="9">
        <v>0.54</v>
      </c>
      <c r="L55" s="9">
        <v>1</v>
      </c>
      <c r="M55" s="9">
        <v>1</v>
      </c>
      <c r="N55" s="9">
        <v>105.87</v>
      </c>
      <c r="O55" s="9">
        <v>102.80491</v>
      </c>
      <c r="P55" s="9">
        <v>3</v>
      </c>
      <c r="Q55" s="9">
        <v>6.386711</v>
      </c>
      <c r="R55" s="9">
        <v>8.617086</v>
      </c>
      <c r="S55" s="9">
        <v>18.76796</v>
      </c>
      <c r="T55" s="9">
        <v>15.15466</v>
      </c>
      <c r="U55" s="9">
        <v>10630</v>
      </c>
      <c r="V55" s="9">
        <v>67</v>
      </c>
      <c r="W55" s="9">
        <v>54</v>
      </c>
    </row>
    <row r="56" spans="1:23" ht="15">
      <c r="A56" s="7">
        <v>2014</v>
      </c>
      <c r="B56" s="7">
        <v>596.1</v>
      </c>
      <c r="C56" s="9">
        <v>6293</v>
      </c>
      <c r="D56" s="9">
        <v>6226.4183</v>
      </c>
      <c r="E56" s="9">
        <v>44590000</v>
      </c>
      <c r="F56" s="9">
        <v>44118226</v>
      </c>
      <c r="G56" s="9">
        <v>4044422</v>
      </c>
      <c r="H56" s="9">
        <v>1</v>
      </c>
      <c r="I56" s="9">
        <v>98.8</v>
      </c>
      <c r="J56" s="9">
        <v>0.65</v>
      </c>
      <c r="K56" s="9">
        <v>0.54</v>
      </c>
      <c r="L56" s="9">
        <v>1</v>
      </c>
      <c r="M56" s="9">
        <v>1</v>
      </c>
      <c r="N56" s="9">
        <v>96.29</v>
      </c>
      <c r="O56" s="9">
        <v>95.271225</v>
      </c>
      <c r="P56" s="9">
        <v>3</v>
      </c>
      <c r="Q56" s="9">
        <v>6.390409</v>
      </c>
      <c r="R56" s="9">
        <v>8.736557</v>
      </c>
      <c r="S56" s="9">
        <v>17.60238</v>
      </c>
      <c r="T56" s="9">
        <v>15.21285</v>
      </c>
      <c r="U56" s="9">
        <v>9880</v>
      </c>
      <c r="V56" s="9">
        <v>65</v>
      </c>
      <c r="W56" s="9">
        <v>54</v>
      </c>
    </row>
    <row r="57" spans="1:23" ht="15">
      <c r="A57" s="7">
        <v>2015</v>
      </c>
      <c r="B57" s="7">
        <v>680.7</v>
      </c>
      <c r="C57" s="9">
        <v>6195</v>
      </c>
      <c r="D57" s="9">
        <v>6195</v>
      </c>
      <c r="E57" s="9">
        <v>78419998</v>
      </c>
      <c r="F57" s="9">
        <v>78419998</v>
      </c>
      <c r="G57" s="9">
        <v>4009232</v>
      </c>
      <c r="H57" s="9">
        <v>1</v>
      </c>
      <c r="I57" s="9">
        <v>102.7</v>
      </c>
      <c r="J57" s="9">
        <v>0.66</v>
      </c>
      <c r="K57" s="9">
        <v>0.54</v>
      </c>
      <c r="L57" s="9">
        <v>1</v>
      </c>
      <c r="M57" s="9">
        <v>1</v>
      </c>
      <c r="N57" s="9">
        <v>49.49</v>
      </c>
      <c r="O57" s="9">
        <v>49.49</v>
      </c>
      <c r="P57" s="9">
        <v>3</v>
      </c>
      <c r="Q57" s="9">
        <v>6.523122</v>
      </c>
      <c r="R57" s="9">
        <v>8.731498</v>
      </c>
      <c r="S57" s="9">
        <v>18.17759</v>
      </c>
      <c r="T57" s="9">
        <v>15.20411</v>
      </c>
      <c r="U57" s="9">
        <v>10270</v>
      </c>
      <c r="V57" s="9">
        <v>66</v>
      </c>
      <c r="W57" s="9">
        <v>54</v>
      </c>
    </row>
    <row r="58" spans="1:23" ht="15">
      <c r="A58" s="7">
        <v>2016</v>
      </c>
      <c r="B58" s="7">
        <v>663.5</v>
      </c>
      <c r="C58" s="9">
        <v>6459</v>
      </c>
      <c r="D58" s="9">
        <v>6529.6308</v>
      </c>
      <c r="E58" s="9">
        <v>42340000</v>
      </c>
      <c r="F58" s="9">
        <v>42802999</v>
      </c>
      <c r="G58" s="9">
        <v>3798448</v>
      </c>
      <c r="H58" s="9">
        <v>1</v>
      </c>
      <c r="I58" s="9">
        <v>96.3</v>
      </c>
      <c r="J58" s="9">
        <v>0.66</v>
      </c>
      <c r="K58" s="9">
        <v>0.54</v>
      </c>
      <c r="L58" s="9">
        <v>1</v>
      </c>
      <c r="M58" s="9">
        <v>1</v>
      </c>
      <c r="N58" s="9">
        <v>40.76</v>
      </c>
      <c r="O58" s="9">
        <v>41.205721</v>
      </c>
      <c r="P58" s="9">
        <v>3</v>
      </c>
      <c r="Q58" s="9">
        <v>6.497529</v>
      </c>
      <c r="R58" s="9">
        <v>8.784105</v>
      </c>
      <c r="S58" s="9">
        <v>17.57212</v>
      </c>
      <c r="T58" s="9">
        <v>15.1501</v>
      </c>
      <c r="U58" s="9">
        <v>9630</v>
      </c>
      <c r="V58" s="9">
        <v>66</v>
      </c>
      <c r="W58" s="9">
        <v>54</v>
      </c>
    </row>
    <row r="59" spans="1:23" ht="15">
      <c r="A59" s="7">
        <v>2017</v>
      </c>
      <c r="B59" s="7">
        <v>623.7</v>
      </c>
      <c r="C59" s="9">
        <v>6929</v>
      </c>
      <c r="D59" s="9">
        <v>7137.9155</v>
      </c>
      <c r="E59" s="9">
        <v>11650000</v>
      </c>
      <c r="F59" s="9">
        <v>12001257</v>
      </c>
      <c r="G59" s="9">
        <v>3713331</v>
      </c>
      <c r="H59" s="9">
        <v>1</v>
      </c>
      <c r="I59" s="9">
        <v>102.4</v>
      </c>
      <c r="J59" s="9">
        <v>0.71</v>
      </c>
      <c r="K59" s="9">
        <v>0.52</v>
      </c>
      <c r="L59" s="9">
        <v>1</v>
      </c>
      <c r="M59" s="9">
        <v>1</v>
      </c>
      <c r="N59" s="9">
        <v>52.51</v>
      </c>
      <c r="O59" s="9">
        <v>54.093223</v>
      </c>
      <c r="P59" s="9">
        <v>3</v>
      </c>
      <c r="Q59" s="9">
        <v>6.435669</v>
      </c>
      <c r="R59" s="9">
        <v>8.873176</v>
      </c>
      <c r="S59" s="9">
        <v>16.30052</v>
      </c>
      <c r="T59" s="9">
        <v>15.12744</v>
      </c>
      <c r="U59" s="9">
        <v>10240</v>
      </c>
      <c r="V59" s="9">
        <v>71</v>
      </c>
      <c r="W59" s="9">
        <v>52</v>
      </c>
    </row>
    <row r="60" spans="1:23" ht="15">
      <c r="A60" s="7">
        <v>2018</v>
      </c>
      <c r="B60" s="7">
        <v>648.7</v>
      </c>
      <c r="C60" s="9">
        <v>7567</v>
      </c>
      <c r="D60" s="9">
        <v>7979.0933</v>
      </c>
      <c r="E60" s="9">
        <v>66699997</v>
      </c>
      <c r="F60" s="9">
        <v>70332430</v>
      </c>
      <c r="G60" s="9">
        <v>3154516</v>
      </c>
      <c r="H60" s="9">
        <v>1</v>
      </c>
      <c r="I60" s="9">
        <v>78.3</v>
      </c>
      <c r="J60" s="9">
        <v>0.71</v>
      </c>
      <c r="K60" s="9">
        <v>0.56</v>
      </c>
      <c r="L60" s="9">
        <v>1</v>
      </c>
      <c r="M60" s="9">
        <v>1</v>
      </c>
      <c r="N60" s="9">
        <v>69.78</v>
      </c>
      <c r="O60" s="9">
        <v>73.580168</v>
      </c>
      <c r="P60" s="9">
        <v>3</v>
      </c>
      <c r="Q60" s="9">
        <v>6.47497</v>
      </c>
      <c r="R60" s="9">
        <v>8.98458</v>
      </c>
      <c r="S60" s="9">
        <v>18.06874</v>
      </c>
      <c r="T60" s="9">
        <v>14.96435</v>
      </c>
      <c r="U60" s="9">
        <v>7830</v>
      </c>
      <c r="V60" s="9">
        <v>71</v>
      </c>
      <c r="W60" s="9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O4" sqref="O4"/>
    </sheetView>
  </sheetViews>
  <sheetFormatPr defaultColWidth="11.25390625" defaultRowHeight="15.75"/>
  <cols>
    <col min="1" max="1" width="7.75390625" style="7" customWidth="1"/>
    <col min="2" max="2" width="11.25390625" style="7" customWidth="1"/>
    <col min="3" max="5" width="11.25390625" style="0" customWidth="1"/>
    <col min="6" max="6" width="10.75390625" style="8" customWidth="1"/>
    <col min="7" max="7" width="11.25390625" style="9" customWidth="1"/>
    <col min="8" max="8" width="12.375" style="9" customWidth="1"/>
    <col min="9" max="9" width="11.25390625" style="9" customWidth="1"/>
    <col min="10" max="10" width="11.875" style="9" customWidth="1"/>
    <col min="11" max="11" width="14.25390625" style="9" customWidth="1"/>
    <col min="12" max="12" width="12.00390625" style="8" customWidth="1"/>
    <col min="13" max="13" width="12.50390625" style="2" customWidth="1"/>
  </cols>
  <sheetData>
    <row r="1" spans="1:16" s="4" customFormat="1" ht="46.5">
      <c r="A1" s="6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7</v>
      </c>
      <c r="J1" s="1" t="s">
        <v>8</v>
      </c>
      <c r="K1" s="1" t="s">
        <v>9</v>
      </c>
      <c r="L1" s="1" t="s">
        <v>16</v>
      </c>
      <c r="M1" s="1" t="s">
        <v>14</v>
      </c>
      <c r="N1" s="1" t="s">
        <v>11</v>
      </c>
      <c r="O1" s="1" t="s">
        <v>13</v>
      </c>
      <c r="P1" s="1"/>
    </row>
    <row r="2" spans="1:15" ht="15">
      <c r="A2" s="7">
        <v>2000</v>
      </c>
      <c r="B2" s="7">
        <v>0.16</v>
      </c>
      <c r="C2">
        <v>6938</v>
      </c>
      <c r="D2" s="52">
        <v>5169.466045</v>
      </c>
      <c r="E2">
        <v>47.902108</v>
      </c>
      <c r="F2">
        <v>2</v>
      </c>
      <c r="G2" s="9">
        <v>1341170.168</v>
      </c>
      <c r="H2" s="53">
        <v>1799999.95</v>
      </c>
      <c r="I2" s="9">
        <v>546000</v>
      </c>
      <c r="J2" s="9">
        <v>0.6</v>
      </c>
      <c r="K2" s="9">
        <v>0.66</v>
      </c>
      <c r="L2">
        <v>3</v>
      </c>
      <c r="M2">
        <v>1</v>
      </c>
      <c r="N2">
        <v>27.6</v>
      </c>
      <c r="O2">
        <v>1</v>
      </c>
    </row>
    <row r="3" spans="1:15" ht="15">
      <c r="A3" s="7">
        <v>2001</v>
      </c>
      <c r="B3" s="7">
        <v>0.16</v>
      </c>
      <c r="C3">
        <v>7639</v>
      </c>
      <c r="D3" s="52">
        <v>5816.622218</v>
      </c>
      <c r="E3">
        <v>59.248142</v>
      </c>
      <c r="F3">
        <v>2</v>
      </c>
      <c r="G3" s="9">
        <v>243660.0408</v>
      </c>
      <c r="H3" s="53">
        <v>319999.99</v>
      </c>
      <c r="I3" s="9">
        <v>420000</v>
      </c>
      <c r="J3" s="9">
        <v>0.6</v>
      </c>
      <c r="K3" s="9">
        <v>0.66</v>
      </c>
      <c r="L3">
        <v>3</v>
      </c>
      <c r="M3">
        <v>1</v>
      </c>
      <c r="N3">
        <v>23.12</v>
      </c>
      <c r="O3">
        <v>1</v>
      </c>
    </row>
    <row r="4" spans="1:15" ht="15">
      <c r="A4" s="7">
        <v>2002</v>
      </c>
      <c r="B4" s="7">
        <v>0.16</v>
      </c>
      <c r="C4">
        <v>8208</v>
      </c>
      <c r="D4" s="52">
        <v>6348.738535</v>
      </c>
      <c r="E4">
        <v>60.450394</v>
      </c>
      <c r="F4">
        <v>2</v>
      </c>
      <c r="G4" s="9">
        <v>3674038.504</v>
      </c>
      <c r="H4" s="53">
        <v>4750000</v>
      </c>
      <c r="I4" s="9">
        <v>417847</v>
      </c>
      <c r="J4" s="9">
        <v>0.6</v>
      </c>
      <c r="K4" s="9">
        <v>0.66</v>
      </c>
      <c r="L4">
        <v>3</v>
      </c>
      <c r="M4">
        <v>1</v>
      </c>
      <c r="N4">
        <v>24.36</v>
      </c>
      <c r="O4">
        <v>1</v>
      </c>
    </row>
    <row r="5" spans="1:15" ht="15">
      <c r="A5" s="7">
        <v>2003</v>
      </c>
      <c r="B5" s="7">
        <v>0.16</v>
      </c>
      <c r="C5">
        <v>8518</v>
      </c>
      <c r="D5" s="52">
        <v>6710.872939</v>
      </c>
      <c r="E5">
        <v>62.402477</v>
      </c>
      <c r="F5">
        <v>2</v>
      </c>
      <c r="G5" s="9">
        <v>16757486.56</v>
      </c>
      <c r="H5" s="53">
        <v>21270000.46</v>
      </c>
      <c r="I5" s="9">
        <v>364555</v>
      </c>
      <c r="J5" s="9">
        <v>0.6</v>
      </c>
      <c r="K5" s="9">
        <v>0.66</v>
      </c>
      <c r="L5">
        <v>3</v>
      </c>
      <c r="M5">
        <v>1</v>
      </c>
      <c r="N5">
        <v>28.1</v>
      </c>
      <c r="O5">
        <v>1</v>
      </c>
    </row>
    <row r="6" spans="1:15" ht="15">
      <c r="A6" s="7">
        <v>2004</v>
      </c>
      <c r="B6" s="7">
        <v>0.16</v>
      </c>
      <c r="C6">
        <v>9144</v>
      </c>
      <c r="D6" s="52">
        <v>7398.013288</v>
      </c>
      <c r="E6">
        <v>67.268326</v>
      </c>
      <c r="F6">
        <v>2</v>
      </c>
      <c r="G6" s="9">
        <v>24514413.5</v>
      </c>
      <c r="H6" s="53">
        <v>30299999.24</v>
      </c>
      <c r="I6" s="9">
        <v>361237</v>
      </c>
      <c r="J6" s="9">
        <v>0.6</v>
      </c>
      <c r="K6" s="9">
        <v>0.66</v>
      </c>
      <c r="L6">
        <v>3</v>
      </c>
      <c r="M6">
        <v>1</v>
      </c>
      <c r="N6">
        <v>36.05</v>
      </c>
      <c r="O6">
        <v>1</v>
      </c>
    </row>
    <row r="7" spans="1:15" ht="15">
      <c r="A7" s="7">
        <v>2005</v>
      </c>
      <c r="B7" s="7">
        <v>0.31</v>
      </c>
      <c r="C7">
        <v>10481</v>
      </c>
      <c r="D7" s="52">
        <v>8743.860372</v>
      </c>
      <c r="E7">
        <v>72.764472</v>
      </c>
      <c r="F7">
        <v>2</v>
      </c>
      <c r="G7" s="9">
        <v>-525582.6767</v>
      </c>
      <c r="H7" s="53">
        <v>-630000</v>
      </c>
      <c r="I7" s="9">
        <v>442400</v>
      </c>
      <c r="J7" s="9">
        <v>0.67</v>
      </c>
      <c r="K7" s="9">
        <v>0.66</v>
      </c>
      <c r="L7">
        <v>3</v>
      </c>
      <c r="M7">
        <v>1</v>
      </c>
      <c r="N7">
        <v>50.59</v>
      </c>
      <c r="O7">
        <v>1</v>
      </c>
    </row>
    <row r="8" spans="1:15" ht="15">
      <c r="A8" s="7">
        <v>2006</v>
      </c>
      <c r="B8" s="7">
        <v>0.31</v>
      </c>
      <c r="C8">
        <v>11933</v>
      </c>
      <c r="D8" s="52">
        <v>10256.46813</v>
      </c>
      <c r="E8">
        <v>73.679373</v>
      </c>
      <c r="F8">
        <v>2</v>
      </c>
      <c r="G8" s="9">
        <v>-764959.0658</v>
      </c>
      <c r="H8" s="53">
        <v>-889999.99</v>
      </c>
      <c r="I8" s="9">
        <v>348300</v>
      </c>
      <c r="J8" s="9">
        <v>0.67</v>
      </c>
      <c r="K8" s="9">
        <v>0.66</v>
      </c>
      <c r="L8">
        <v>3</v>
      </c>
      <c r="M8">
        <v>1</v>
      </c>
      <c r="N8">
        <v>61</v>
      </c>
      <c r="O8">
        <v>1</v>
      </c>
    </row>
    <row r="9" spans="1:15" ht="15">
      <c r="A9" s="7">
        <v>2007</v>
      </c>
      <c r="B9" s="7">
        <v>0.93</v>
      </c>
      <c r="C9">
        <v>13191</v>
      </c>
      <c r="D9" s="52">
        <v>11642.2878</v>
      </c>
      <c r="E9">
        <v>71.309267</v>
      </c>
      <c r="F9">
        <v>2</v>
      </c>
      <c r="G9" s="9">
        <v>16504494.78</v>
      </c>
      <c r="H9" s="53">
        <v>18700000.76</v>
      </c>
      <c r="I9" s="9">
        <v>353500</v>
      </c>
      <c r="J9" s="9">
        <v>0.67</v>
      </c>
      <c r="K9" s="9">
        <v>0.66</v>
      </c>
      <c r="L9">
        <v>3</v>
      </c>
      <c r="M9">
        <v>1</v>
      </c>
      <c r="N9">
        <v>69.04</v>
      </c>
      <c r="O9">
        <v>1</v>
      </c>
    </row>
    <row r="10" spans="1:15" ht="15">
      <c r="A10" s="7">
        <v>2008</v>
      </c>
      <c r="B10" s="7">
        <v>0.93</v>
      </c>
      <c r="C10">
        <v>14166</v>
      </c>
      <c r="D10" s="52">
        <v>12746.01248</v>
      </c>
      <c r="E10">
        <v>75.617547</v>
      </c>
      <c r="F10">
        <v>2</v>
      </c>
      <c r="G10" s="9">
        <v>8349780.627</v>
      </c>
      <c r="H10" s="53">
        <v>9279999.73</v>
      </c>
      <c r="I10" s="9">
        <v>310700</v>
      </c>
      <c r="J10" s="9">
        <v>0.67</v>
      </c>
      <c r="K10" s="9">
        <v>0.66</v>
      </c>
      <c r="L10">
        <v>3</v>
      </c>
      <c r="M10">
        <v>1</v>
      </c>
      <c r="N10">
        <v>94.1</v>
      </c>
      <c r="O10">
        <v>1</v>
      </c>
    </row>
    <row r="11" spans="1:15" ht="15">
      <c r="A11" s="7">
        <v>2009</v>
      </c>
      <c r="B11" s="7">
        <v>1.24</v>
      </c>
      <c r="C11">
        <v>16144</v>
      </c>
      <c r="D11" s="52">
        <v>14636.47645</v>
      </c>
      <c r="E11">
        <v>82.795894</v>
      </c>
      <c r="F11">
        <v>2</v>
      </c>
      <c r="G11" s="9">
        <v>27624717.39</v>
      </c>
      <c r="H11" s="53">
        <v>30470000</v>
      </c>
      <c r="I11" s="9">
        <v>356700</v>
      </c>
      <c r="J11" s="9">
        <v>0.67</v>
      </c>
      <c r="K11" s="9">
        <v>0.66</v>
      </c>
      <c r="L11">
        <v>3</v>
      </c>
      <c r="M11">
        <v>1</v>
      </c>
      <c r="N11">
        <v>60.86</v>
      </c>
      <c r="O11">
        <v>1</v>
      </c>
    </row>
    <row r="12" spans="1:15" ht="15">
      <c r="A12" s="7">
        <v>2010</v>
      </c>
      <c r="B12" s="7">
        <v>1.55</v>
      </c>
      <c r="C12">
        <v>17607</v>
      </c>
      <c r="D12" s="52">
        <v>16148.86913</v>
      </c>
      <c r="F12">
        <v>2</v>
      </c>
      <c r="G12" s="9">
        <v>46317821.96</v>
      </c>
      <c r="H12" s="53">
        <v>50500000</v>
      </c>
      <c r="I12" s="9">
        <v>258800</v>
      </c>
      <c r="J12" s="9">
        <v>0.67</v>
      </c>
      <c r="K12" s="9">
        <v>0.66</v>
      </c>
      <c r="L12">
        <v>3</v>
      </c>
      <c r="M12">
        <v>1</v>
      </c>
      <c r="N12">
        <v>77.38</v>
      </c>
      <c r="O12">
        <v>1</v>
      </c>
    </row>
    <row r="13" spans="1:15" ht="15">
      <c r="A13" s="7">
        <v>2011</v>
      </c>
      <c r="B13" s="7">
        <v>2.64</v>
      </c>
      <c r="C13">
        <v>18629</v>
      </c>
      <c r="D13" s="52">
        <v>17443.14673</v>
      </c>
      <c r="F13">
        <v>2</v>
      </c>
      <c r="G13" s="9">
        <v>73877517.69</v>
      </c>
      <c r="H13" s="53">
        <v>78900000</v>
      </c>
      <c r="I13" s="9">
        <v>285410</v>
      </c>
      <c r="J13" s="9">
        <v>0.67</v>
      </c>
      <c r="K13" s="9">
        <v>0.66</v>
      </c>
      <c r="L13">
        <v>3</v>
      </c>
      <c r="M13">
        <v>2</v>
      </c>
      <c r="N13">
        <v>107.46</v>
      </c>
      <c r="O13">
        <v>1</v>
      </c>
    </row>
    <row r="14" spans="1:15" ht="15">
      <c r="A14" s="7">
        <v>2012</v>
      </c>
      <c r="B14" s="7">
        <v>3.42</v>
      </c>
      <c r="C14">
        <v>20278</v>
      </c>
      <c r="D14" s="52">
        <v>19351.32288</v>
      </c>
      <c r="E14">
        <v>85.570219</v>
      </c>
      <c r="F14">
        <v>2</v>
      </c>
      <c r="G14" s="9">
        <v>9838846.972</v>
      </c>
      <c r="H14" s="53">
        <v>10310000</v>
      </c>
      <c r="I14" s="9">
        <v>258600</v>
      </c>
      <c r="J14" s="9">
        <v>0.67</v>
      </c>
      <c r="K14" s="9">
        <v>0.66</v>
      </c>
      <c r="L14">
        <v>3</v>
      </c>
      <c r="M14">
        <v>2</v>
      </c>
      <c r="N14">
        <v>109.45</v>
      </c>
      <c r="O14">
        <v>1</v>
      </c>
    </row>
    <row r="15" spans="1:15" ht="15">
      <c r="A15" s="7">
        <v>2013</v>
      </c>
      <c r="B15" s="7">
        <v>4.35</v>
      </c>
      <c r="C15">
        <v>22362</v>
      </c>
      <c r="D15" s="52">
        <v>21714.58745</v>
      </c>
      <c r="E15">
        <v>83.334934</v>
      </c>
      <c r="F15">
        <v>2</v>
      </c>
      <c r="G15" s="9">
        <v>23761557.77</v>
      </c>
      <c r="H15" s="53">
        <v>24470000</v>
      </c>
      <c r="I15" s="9">
        <v>173085</v>
      </c>
      <c r="J15" s="9">
        <v>0.67</v>
      </c>
      <c r="K15" s="9">
        <v>0.66</v>
      </c>
      <c r="L15">
        <v>3</v>
      </c>
      <c r="M15">
        <v>2</v>
      </c>
      <c r="N15">
        <v>105.87</v>
      </c>
      <c r="O15">
        <v>1</v>
      </c>
    </row>
    <row r="16" spans="1:15" ht="15">
      <c r="A16" s="7">
        <v>2014</v>
      </c>
      <c r="B16" s="7">
        <v>10.1</v>
      </c>
      <c r="C16">
        <v>23122</v>
      </c>
      <c r="D16" s="52">
        <v>22877.36283</v>
      </c>
      <c r="E16">
        <v>81.995802</v>
      </c>
      <c r="F16">
        <v>2</v>
      </c>
      <c r="G16" s="9">
        <v>31869209.27</v>
      </c>
      <c r="H16" s="53">
        <v>32210000</v>
      </c>
      <c r="I16" s="9">
        <v>159607</v>
      </c>
      <c r="J16" s="9">
        <v>0.67</v>
      </c>
      <c r="K16" s="9">
        <v>0.66</v>
      </c>
      <c r="L16">
        <v>3</v>
      </c>
      <c r="M16">
        <v>2</v>
      </c>
      <c r="N16">
        <v>96.29</v>
      </c>
      <c r="O16">
        <v>1</v>
      </c>
    </row>
    <row r="17" spans="1:15" ht="15">
      <c r="A17" s="7">
        <v>2015</v>
      </c>
      <c r="B17" s="7">
        <v>13.99</v>
      </c>
      <c r="C17">
        <v>24555</v>
      </c>
      <c r="D17" s="52">
        <v>24555</v>
      </c>
      <c r="E17">
        <v>82.986162</v>
      </c>
      <c r="F17">
        <v>2</v>
      </c>
      <c r="G17" s="9">
        <v>25440000</v>
      </c>
      <c r="H17" s="53">
        <v>25440000</v>
      </c>
      <c r="I17" s="9">
        <v>116105</v>
      </c>
      <c r="J17" s="9">
        <v>0.67</v>
      </c>
      <c r="K17" s="9">
        <v>0.65</v>
      </c>
      <c r="L17">
        <v>3</v>
      </c>
      <c r="M17">
        <v>2</v>
      </c>
      <c r="N17">
        <v>49.49</v>
      </c>
      <c r="O17">
        <v>1</v>
      </c>
    </row>
    <row r="18" spans="1:15" ht="15">
      <c r="A18" s="7">
        <v>2016</v>
      </c>
      <c r="B18" s="7">
        <v>29.53</v>
      </c>
      <c r="C18">
        <v>25530</v>
      </c>
      <c r="D18" s="52">
        <v>25809.17703</v>
      </c>
      <c r="E18">
        <v>82.229083</v>
      </c>
      <c r="F18">
        <v>2</v>
      </c>
      <c r="G18" s="9">
        <v>18914598.6</v>
      </c>
      <c r="H18" s="53">
        <v>18710000</v>
      </c>
      <c r="I18" s="9">
        <v>83369</v>
      </c>
      <c r="J18" s="9">
        <v>0.67</v>
      </c>
      <c r="K18" s="9">
        <v>0.65</v>
      </c>
      <c r="L18">
        <v>3</v>
      </c>
      <c r="M18">
        <v>2</v>
      </c>
      <c r="N18">
        <v>40.76</v>
      </c>
      <c r="O18">
        <v>1</v>
      </c>
    </row>
    <row r="19" spans="1:15" ht="15">
      <c r="A19" s="7">
        <v>2017</v>
      </c>
      <c r="B19" s="7">
        <v>29.53</v>
      </c>
      <c r="C19">
        <v>27708</v>
      </c>
      <c r="D19" s="52">
        <v>28543.42069</v>
      </c>
      <c r="E19">
        <v>82.358651</v>
      </c>
      <c r="F19">
        <v>1</v>
      </c>
      <c r="G19" s="9">
        <v>0</v>
      </c>
      <c r="H19" s="53"/>
      <c r="I19" s="9">
        <v>131194</v>
      </c>
      <c r="J19" s="9">
        <v>0.67</v>
      </c>
      <c r="K19" s="9">
        <v>0.65</v>
      </c>
      <c r="L19">
        <v>3</v>
      </c>
      <c r="M19">
        <v>2</v>
      </c>
      <c r="N19">
        <v>52.51</v>
      </c>
      <c r="O19">
        <v>1</v>
      </c>
    </row>
    <row r="20" spans="1:15" ht="15">
      <c r="A20" s="7">
        <v>2018</v>
      </c>
      <c r="B20" s="7">
        <v>37.3</v>
      </c>
      <c r="C20">
        <v>22463</v>
      </c>
      <c r="D20" s="52">
        <v>23686.31863</v>
      </c>
      <c r="E20">
        <v>80.890837</v>
      </c>
      <c r="F20">
        <v>1</v>
      </c>
      <c r="G20" s="9">
        <v>0</v>
      </c>
      <c r="H20" s="53"/>
      <c r="I20" s="9">
        <v>146831</v>
      </c>
      <c r="J20" s="9">
        <v>0.68</v>
      </c>
      <c r="K20" s="9">
        <v>0.69</v>
      </c>
      <c r="L20">
        <v>3</v>
      </c>
      <c r="M20">
        <v>2</v>
      </c>
      <c r="N20">
        <v>69.78</v>
      </c>
      <c r="O20">
        <v>1</v>
      </c>
    </row>
    <row r="21" spans="1:15" ht="15">
      <c r="A21" s="7">
        <v>2000</v>
      </c>
      <c r="B21" s="7">
        <v>113.2</v>
      </c>
      <c r="C21">
        <v>3288</v>
      </c>
      <c r="D21" s="52">
        <v>2449.870908</v>
      </c>
      <c r="E21">
        <v>25.56436</v>
      </c>
      <c r="F21">
        <v>2</v>
      </c>
      <c r="G21" s="9">
        <v>10528186.19</v>
      </c>
      <c r="H21" s="53">
        <v>14130000.11</v>
      </c>
      <c r="I21" s="9">
        <v>2025000</v>
      </c>
      <c r="J21" s="9">
        <v>0.56</v>
      </c>
      <c r="K21" s="9">
        <v>0.63</v>
      </c>
      <c r="L21">
        <v>3</v>
      </c>
      <c r="M21">
        <v>1</v>
      </c>
      <c r="N21">
        <v>27.6</v>
      </c>
      <c r="O21">
        <v>2</v>
      </c>
    </row>
    <row r="22" spans="1:15" ht="15">
      <c r="A22" s="7">
        <v>2001</v>
      </c>
      <c r="B22" s="7">
        <v>98.6</v>
      </c>
      <c r="C22">
        <v>3906</v>
      </c>
      <c r="D22" s="52">
        <v>2974.175466</v>
      </c>
      <c r="E22">
        <v>12.952059</v>
      </c>
      <c r="F22">
        <v>2</v>
      </c>
      <c r="G22" s="9">
        <v>44848678.82</v>
      </c>
      <c r="H22" s="53">
        <v>58900001.53</v>
      </c>
      <c r="I22" s="9">
        <v>2231000</v>
      </c>
      <c r="J22" s="9">
        <v>0.56</v>
      </c>
      <c r="K22" s="9">
        <v>0.63</v>
      </c>
      <c r="L22">
        <v>3</v>
      </c>
      <c r="M22">
        <v>2</v>
      </c>
      <c r="N22">
        <v>23.12</v>
      </c>
      <c r="O22">
        <v>2</v>
      </c>
    </row>
    <row r="23" spans="1:15" ht="15">
      <c r="A23" s="7">
        <v>2002</v>
      </c>
      <c r="B23" s="7">
        <v>139</v>
      </c>
      <c r="C23">
        <v>4526</v>
      </c>
      <c r="D23" s="52">
        <v>3500.778583</v>
      </c>
      <c r="E23">
        <v>14.723834</v>
      </c>
      <c r="F23">
        <v>2</v>
      </c>
      <c r="G23" s="9">
        <v>22067436.01</v>
      </c>
      <c r="H23" s="53">
        <v>28530000.69</v>
      </c>
      <c r="I23" s="9">
        <v>1965500</v>
      </c>
      <c r="J23" s="9">
        <v>0.56</v>
      </c>
      <c r="K23" s="9">
        <v>0.63</v>
      </c>
      <c r="L23">
        <v>3</v>
      </c>
      <c r="M23">
        <v>2</v>
      </c>
      <c r="N23">
        <v>24.36</v>
      </c>
      <c r="O23">
        <v>2</v>
      </c>
    </row>
    <row r="24" spans="1:15" ht="15">
      <c r="A24" s="7">
        <v>2003</v>
      </c>
      <c r="B24" s="7">
        <v>176.7</v>
      </c>
      <c r="C24">
        <v>4589</v>
      </c>
      <c r="D24" s="52">
        <v>3615.425677</v>
      </c>
      <c r="E24">
        <v>18.352162</v>
      </c>
      <c r="F24">
        <v>2</v>
      </c>
      <c r="G24" s="9">
        <v>8311776.331</v>
      </c>
      <c r="H24" s="53">
        <v>10550000.19</v>
      </c>
      <c r="I24" s="9">
        <v>1775700</v>
      </c>
      <c r="J24" s="9">
        <v>0.56</v>
      </c>
      <c r="K24" s="9">
        <v>0.63</v>
      </c>
      <c r="L24">
        <v>3</v>
      </c>
      <c r="M24">
        <v>2</v>
      </c>
      <c r="N24">
        <v>28.1</v>
      </c>
      <c r="O24">
        <v>2</v>
      </c>
    </row>
    <row r="25" spans="1:15" ht="15">
      <c r="A25" s="7">
        <v>2004</v>
      </c>
      <c r="B25" s="7">
        <v>200.9</v>
      </c>
      <c r="C25">
        <v>4706</v>
      </c>
      <c r="D25" s="52">
        <v>3807.420225</v>
      </c>
      <c r="E25">
        <v>20.005826</v>
      </c>
      <c r="F25">
        <v>2</v>
      </c>
      <c r="G25" s="9">
        <v>70185657.56</v>
      </c>
      <c r="H25" s="53">
        <v>86750000</v>
      </c>
      <c r="I25" s="9">
        <v>1993100</v>
      </c>
      <c r="J25" s="9">
        <v>0.56</v>
      </c>
      <c r="K25" s="9">
        <v>0.63</v>
      </c>
      <c r="L25">
        <v>3</v>
      </c>
      <c r="M25">
        <v>2</v>
      </c>
      <c r="N25">
        <v>36.05</v>
      </c>
      <c r="O25">
        <v>2</v>
      </c>
    </row>
    <row r="26" spans="1:15" ht="15">
      <c r="A26" s="7">
        <v>2005</v>
      </c>
      <c r="B26" s="7">
        <v>224</v>
      </c>
      <c r="C26">
        <v>5346</v>
      </c>
      <c r="D26" s="52">
        <v>4459.944428</v>
      </c>
      <c r="E26">
        <v>20.978076</v>
      </c>
      <c r="F26">
        <v>2</v>
      </c>
      <c r="G26" s="9">
        <v>36498796.99</v>
      </c>
      <c r="H26" s="53">
        <v>43750000</v>
      </c>
      <c r="I26" s="9">
        <v>1368700</v>
      </c>
      <c r="J26" s="9">
        <v>0.59</v>
      </c>
      <c r="K26" s="9">
        <v>0.63</v>
      </c>
      <c r="L26">
        <v>3</v>
      </c>
      <c r="M26">
        <v>2</v>
      </c>
      <c r="N26">
        <v>50.59</v>
      </c>
      <c r="O26">
        <v>2</v>
      </c>
    </row>
    <row r="27" spans="1:15" ht="15">
      <c r="A27" s="7">
        <v>2006</v>
      </c>
      <c r="B27" s="7">
        <v>251</v>
      </c>
      <c r="C27">
        <v>5364</v>
      </c>
      <c r="D27" s="52">
        <v>4610.382556</v>
      </c>
      <c r="E27">
        <v>23.439078</v>
      </c>
      <c r="F27">
        <v>2</v>
      </c>
      <c r="G27" s="9">
        <v>34981836.98</v>
      </c>
      <c r="H27" s="53">
        <v>40700000.76</v>
      </c>
      <c r="I27" s="9">
        <v>1745300</v>
      </c>
      <c r="J27" s="9">
        <v>0.59</v>
      </c>
      <c r="K27" s="9">
        <v>0.63</v>
      </c>
      <c r="L27">
        <v>3</v>
      </c>
      <c r="M27">
        <v>2</v>
      </c>
      <c r="N27">
        <v>61</v>
      </c>
      <c r="O27">
        <v>2</v>
      </c>
    </row>
    <row r="28" spans="1:15" ht="15">
      <c r="A28" s="7">
        <v>2007</v>
      </c>
      <c r="B28" s="7">
        <v>240.9</v>
      </c>
      <c r="C28">
        <v>5624</v>
      </c>
      <c r="D28" s="52">
        <v>4963.704538</v>
      </c>
      <c r="E28">
        <v>27.306686</v>
      </c>
      <c r="F28">
        <v>2</v>
      </c>
      <c r="G28" s="9">
        <v>27942902.73</v>
      </c>
      <c r="H28" s="53">
        <v>31659999.85</v>
      </c>
      <c r="I28" s="9">
        <v>1968000</v>
      </c>
      <c r="J28" s="9">
        <v>0.59</v>
      </c>
      <c r="K28" s="9">
        <v>0.63</v>
      </c>
      <c r="L28">
        <v>3</v>
      </c>
      <c r="M28">
        <v>2</v>
      </c>
      <c r="N28">
        <v>69.04</v>
      </c>
      <c r="O28">
        <v>2</v>
      </c>
    </row>
    <row r="29" spans="1:15" ht="15">
      <c r="A29" s="7">
        <v>2008</v>
      </c>
      <c r="B29" s="7">
        <v>236.8</v>
      </c>
      <c r="C29">
        <v>6516</v>
      </c>
      <c r="D29" s="52">
        <v>5862.841826</v>
      </c>
      <c r="E29">
        <v>30.191324</v>
      </c>
      <c r="F29">
        <v>2</v>
      </c>
      <c r="G29" s="9">
        <v>80807521.5</v>
      </c>
      <c r="H29" s="53">
        <v>89809997.56</v>
      </c>
      <c r="I29" s="9">
        <v>1652000</v>
      </c>
      <c r="J29" s="9">
        <v>0.59</v>
      </c>
      <c r="K29" s="9">
        <v>0.63</v>
      </c>
      <c r="L29">
        <v>3</v>
      </c>
      <c r="M29">
        <v>2</v>
      </c>
      <c r="N29">
        <v>94.1</v>
      </c>
      <c r="O29">
        <v>2</v>
      </c>
    </row>
    <row r="30" spans="1:15" ht="15">
      <c r="A30" s="7">
        <v>2009</v>
      </c>
      <c r="B30" s="7">
        <v>221.6</v>
      </c>
      <c r="C30">
        <v>6447</v>
      </c>
      <c r="D30" s="52">
        <v>5844.980407</v>
      </c>
      <c r="E30">
        <v>28.603476</v>
      </c>
      <c r="F30">
        <v>1</v>
      </c>
      <c r="G30" s="9">
        <v>138060122.4</v>
      </c>
      <c r="H30" s="53">
        <v>152279998.8</v>
      </c>
      <c r="I30" s="9">
        <v>1334600</v>
      </c>
      <c r="J30" s="9">
        <v>0.59</v>
      </c>
      <c r="K30" s="9">
        <v>0.63</v>
      </c>
      <c r="L30">
        <v>3</v>
      </c>
      <c r="M30">
        <v>2</v>
      </c>
      <c r="N30">
        <v>60.86</v>
      </c>
      <c r="O30">
        <v>2</v>
      </c>
    </row>
    <row r="31" spans="1:15" ht="15">
      <c r="A31" s="7">
        <v>2010</v>
      </c>
      <c r="B31" s="7">
        <v>226.3</v>
      </c>
      <c r="C31">
        <v>6935</v>
      </c>
      <c r="D31" s="52">
        <v>6360.675155</v>
      </c>
      <c r="E31">
        <v>26.405665</v>
      </c>
      <c r="F31">
        <v>1</v>
      </c>
      <c r="G31" s="9">
        <v>129414751.7</v>
      </c>
      <c r="H31" s="53">
        <v>141100006.1</v>
      </c>
      <c r="I31" s="9">
        <v>1390100</v>
      </c>
      <c r="J31" s="9">
        <v>0.58</v>
      </c>
      <c r="K31" s="9">
        <v>0.63</v>
      </c>
      <c r="L31">
        <v>3</v>
      </c>
      <c r="M31">
        <v>2</v>
      </c>
      <c r="N31">
        <v>77.38</v>
      </c>
      <c r="O31">
        <v>2</v>
      </c>
    </row>
    <row r="32" spans="1:15" ht="15">
      <c r="A32" s="7">
        <v>2011</v>
      </c>
      <c r="B32" s="7">
        <v>273</v>
      </c>
      <c r="C32">
        <v>7469</v>
      </c>
      <c r="D32" s="52">
        <v>6993.551072</v>
      </c>
      <c r="E32">
        <v>26.795738</v>
      </c>
      <c r="F32">
        <v>1</v>
      </c>
      <c r="G32" s="9">
        <v>38418180.74</v>
      </c>
      <c r="H32" s="53">
        <v>41029998.78</v>
      </c>
      <c r="I32" s="9">
        <v>1518300</v>
      </c>
      <c r="J32" s="9">
        <v>0.6</v>
      </c>
      <c r="K32" s="9">
        <v>0.63</v>
      </c>
      <c r="L32">
        <v>3</v>
      </c>
      <c r="M32">
        <v>2</v>
      </c>
      <c r="N32">
        <v>107.46</v>
      </c>
      <c r="O32">
        <v>2</v>
      </c>
    </row>
    <row r="33" spans="1:15" ht="15">
      <c r="A33" s="7">
        <v>2012</v>
      </c>
      <c r="B33" s="7">
        <v>288.7</v>
      </c>
      <c r="C33">
        <v>7919</v>
      </c>
      <c r="D33" s="52">
        <v>7557.112432</v>
      </c>
      <c r="E33">
        <v>28.988329</v>
      </c>
      <c r="F33">
        <v>1</v>
      </c>
      <c r="G33" s="9">
        <v>26777695.52</v>
      </c>
      <c r="H33" s="53">
        <v>28059999.47</v>
      </c>
      <c r="I33" s="9">
        <v>1475200</v>
      </c>
      <c r="J33" s="9">
        <v>0.6</v>
      </c>
      <c r="K33" s="9">
        <v>0.63</v>
      </c>
      <c r="L33">
        <v>3</v>
      </c>
      <c r="M33">
        <v>2</v>
      </c>
      <c r="N33">
        <v>109.45</v>
      </c>
      <c r="O33">
        <v>2</v>
      </c>
    </row>
    <row r="34" spans="1:15" ht="15">
      <c r="A34" s="7">
        <v>2013</v>
      </c>
      <c r="B34" s="7">
        <v>273.4</v>
      </c>
      <c r="C34">
        <v>7249</v>
      </c>
      <c r="D34" s="52">
        <v>7039.130866</v>
      </c>
      <c r="E34">
        <v>29.773137</v>
      </c>
      <c r="F34">
        <v>1</v>
      </c>
      <c r="G34" s="9">
        <v>69517361.42</v>
      </c>
      <c r="H34" s="53">
        <v>71589996.34</v>
      </c>
      <c r="I34" s="9">
        <v>1402600</v>
      </c>
      <c r="J34" s="9">
        <v>0.62</v>
      </c>
      <c r="K34" s="9">
        <v>0.65</v>
      </c>
      <c r="L34">
        <v>3</v>
      </c>
      <c r="M34">
        <v>2</v>
      </c>
      <c r="N34">
        <v>105.87</v>
      </c>
      <c r="O34">
        <v>2</v>
      </c>
    </row>
    <row r="35" spans="1:15" ht="15">
      <c r="A35" s="7">
        <v>2014</v>
      </c>
      <c r="B35" s="7">
        <v>294.6</v>
      </c>
      <c r="C35">
        <v>6950</v>
      </c>
      <c r="D35" s="52">
        <v>6876.467073</v>
      </c>
      <c r="E35">
        <v>29.325937</v>
      </c>
      <c r="F35">
        <v>1</v>
      </c>
      <c r="G35" s="9">
        <v>94974397.06</v>
      </c>
      <c r="H35" s="53">
        <v>95989997.86</v>
      </c>
      <c r="I35" s="9">
        <v>1779300</v>
      </c>
      <c r="J35" s="9">
        <v>0.66</v>
      </c>
      <c r="K35" s="9">
        <v>0.65</v>
      </c>
      <c r="L35">
        <v>3</v>
      </c>
      <c r="M35">
        <v>2</v>
      </c>
      <c r="N35">
        <v>96.29</v>
      </c>
      <c r="O35">
        <v>2</v>
      </c>
    </row>
    <row r="36" spans="1:15" ht="15">
      <c r="A36" s="7">
        <v>2015</v>
      </c>
      <c r="B36" s="7">
        <v>294.6</v>
      </c>
      <c r="C36">
        <v>6238</v>
      </c>
      <c r="D36" s="52">
        <v>6238</v>
      </c>
      <c r="E36">
        <v>30.03209</v>
      </c>
      <c r="F36">
        <v>1</v>
      </c>
      <c r="G36" s="9">
        <v>59069999.69</v>
      </c>
      <c r="H36" s="53">
        <v>59069999.69</v>
      </c>
      <c r="I36" s="9">
        <v>1572400</v>
      </c>
      <c r="J36" s="9">
        <v>0.66</v>
      </c>
      <c r="K36" s="9">
        <v>0.65</v>
      </c>
      <c r="L36">
        <v>2</v>
      </c>
      <c r="M36">
        <v>2</v>
      </c>
      <c r="N36">
        <v>49.49</v>
      </c>
      <c r="O36">
        <v>2</v>
      </c>
    </row>
    <row r="37" spans="1:15" ht="15">
      <c r="A37" s="7">
        <v>2016</v>
      </c>
      <c r="B37" s="7">
        <v>345.2</v>
      </c>
      <c r="C37">
        <v>5605</v>
      </c>
      <c r="D37" s="52">
        <v>5666.292099</v>
      </c>
      <c r="E37">
        <v>32.0208</v>
      </c>
      <c r="F37">
        <v>1</v>
      </c>
      <c r="G37" s="9">
        <v>27143611.95</v>
      </c>
      <c r="H37" s="53">
        <v>26850000.38</v>
      </c>
      <c r="I37" s="9">
        <v>1127100</v>
      </c>
      <c r="J37" s="9">
        <v>0.66</v>
      </c>
      <c r="K37" s="9">
        <v>0.64</v>
      </c>
      <c r="L37">
        <v>2</v>
      </c>
      <c r="M37">
        <v>2</v>
      </c>
      <c r="N37">
        <v>40.76</v>
      </c>
      <c r="O37">
        <v>2</v>
      </c>
    </row>
    <row r="38" spans="1:15" ht="15">
      <c r="A38" s="7">
        <v>2017</v>
      </c>
      <c r="B38" s="7">
        <v>511.7</v>
      </c>
      <c r="C38">
        <v>5206</v>
      </c>
      <c r="D38" s="52">
        <v>5362.965502</v>
      </c>
      <c r="E38">
        <v>36.511736</v>
      </c>
      <c r="F38">
        <v>1</v>
      </c>
      <c r="G38" s="9">
        <v>63282169.12</v>
      </c>
      <c r="H38" s="53">
        <v>61430000.31</v>
      </c>
      <c r="I38" s="9">
        <v>1131200</v>
      </c>
      <c r="J38" s="9">
        <v>0.68</v>
      </c>
      <c r="K38" s="9">
        <v>0.64</v>
      </c>
      <c r="L38">
        <v>2</v>
      </c>
      <c r="M38">
        <v>2</v>
      </c>
      <c r="N38">
        <v>52.51</v>
      </c>
      <c r="O38">
        <v>2</v>
      </c>
    </row>
    <row r="39" spans="1:15" ht="15">
      <c r="A39" s="7">
        <v>2018</v>
      </c>
      <c r="B39" s="7">
        <v>540</v>
      </c>
      <c r="C39">
        <v>5095</v>
      </c>
      <c r="D39" s="52">
        <v>5372.469991</v>
      </c>
      <c r="E39">
        <v>38.055922</v>
      </c>
      <c r="F39">
        <v>1</v>
      </c>
      <c r="G39" s="9">
        <v>104170032.5</v>
      </c>
      <c r="H39" s="53">
        <v>98790000.92</v>
      </c>
      <c r="I39" s="9">
        <v>1028400</v>
      </c>
      <c r="J39" s="9">
        <v>0.71</v>
      </c>
      <c r="K39" s="9">
        <v>0.63</v>
      </c>
      <c r="L39">
        <v>2</v>
      </c>
      <c r="M39">
        <v>2</v>
      </c>
      <c r="N39">
        <v>69.78</v>
      </c>
      <c r="O39">
        <v>2</v>
      </c>
    </row>
    <row r="40" spans="1:15" ht="15">
      <c r="A40" s="7">
        <v>2000</v>
      </c>
      <c r="B40" s="7">
        <v>525.8</v>
      </c>
      <c r="C40">
        <v>2482</v>
      </c>
      <c r="D40" s="52">
        <v>1849.324694</v>
      </c>
      <c r="E40">
        <v>56.501702</v>
      </c>
      <c r="F40">
        <v>2</v>
      </c>
      <c r="G40" s="9">
        <v>15460712.08</v>
      </c>
      <c r="H40" s="53">
        <v>20750000</v>
      </c>
      <c r="I40" s="9">
        <v>5109500</v>
      </c>
      <c r="J40" s="9">
        <v>0.73</v>
      </c>
      <c r="K40" s="9">
        <v>0.54</v>
      </c>
      <c r="L40">
        <v>3</v>
      </c>
      <c r="M40">
        <v>1</v>
      </c>
      <c r="N40">
        <v>27.6</v>
      </c>
      <c r="O40">
        <v>3</v>
      </c>
    </row>
    <row r="41" spans="1:15" ht="15">
      <c r="A41" s="7">
        <v>2001</v>
      </c>
      <c r="B41" s="7">
        <v>548</v>
      </c>
      <c r="C41">
        <v>2469</v>
      </c>
      <c r="D41" s="52">
        <v>1879.989561</v>
      </c>
      <c r="E41">
        <v>56.852712</v>
      </c>
      <c r="F41">
        <v>2</v>
      </c>
      <c r="G41" s="9">
        <v>16203393.74</v>
      </c>
      <c r="H41" s="53">
        <v>21280000.69</v>
      </c>
      <c r="I41" s="9">
        <v>5792300</v>
      </c>
      <c r="J41" s="9">
        <v>0.73</v>
      </c>
      <c r="K41" s="9">
        <v>0.54</v>
      </c>
      <c r="L41">
        <v>3</v>
      </c>
      <c r="M41">
        <v>1</v>
      </c>
      <c r="N41">
        <v>23.12</v>
      </c>
      <c r="O41">
        <v>3</v>
      </c>
    </row>
    <row r="42" spans="1:15" ht="15">
      <c r="A42" s="7">
        <v>2002</v>
      </c>
      <c r="B42" s="7">
        <v>537.7</v>
      </c>
      <c r="C42">
        <v>2838</v>
      </c>
      <c r="D42" s="52">
        <v>2195.141321</v>
      </c>
      <c r="E42">
        <v>57.695498</v>
      </c>
      <c r="F42">
        <v>2</v>
      </c>
      <c r="G42" s="9">
        <v>18447540.99</v>
      </c>
      <c r="H42" s="53">
        <v>23850000.38</v>
      </c>
      <c r="I42" s="9">
        <v>4873900</v>
      </c>
      <c r="J42" s="9">
        <v>0.73</v>
      </c>
      <c r="K42" s="9">
        <v>0.54</v>
      </c>
      <c r="L42">
        <v>3</v>
      </c>
      <c r="M42">
        <v>1</v>
      </c>
      <c r="N42">
        <v>24.36</v>
      </c>
      <c r="O42">
        <v>3</v>
      </c>
    </row>
    <row r="43" spans="1:15" ht="15">
      <c r="A43" s="7">
        <v>2003</v>
      </c>
      <c r="B43" s="7">
        <v>566.6</v>
      </c>
      <c r="C43">
        <v>3593</v>
      </c>
      <c r="D43" s="52">
        <v>2830.730978</v>
      </c>
      <c r="E43">
        <v>70.644406</v>
      </c>
      <c r="F43">
        <v>2</v>
      </c>
      <c r="G43" s="9">
        <v>-11439525.49</v>
      </c>
      <c r="H43" s="53">
        <v>-14520000.46</v>
      </c>
      <c r="I43" s="9">
        <v>5199384</v>
      </c>
      <c r="J43" s="9">
        <v>0.73</v>
      </c>
      <c r="K43" s="9">
        <v>0.54</v>
      </c>
      <c r="L43">
        <v>3</v>
      </c>
      <c r="M43">
        <v>1</v>
      </c>
      <c r="N43">
        <v>28.1</v>
      </c>
      <c r="O43">
        <v>3</v>
      </c>
    </row>
    <row r="44" spans="1:15" ht="15">
      <c r="A44" s="7">
        <v>2004</v>
      </c>
      <c r="B44" s="7">
        <v>592.3</v>
      </c>
      <c r="C44">
        <v>3488</v>
      </c>
      <c r="D44" s="52">
        <v>2821.989321</v>
      </c>
      <c r="E44">
        <v>70.907823</v>
      </c>
      <c r="F44">
        <v>2</v>
      </c>
      <c r="G44" s="9">
        <v>26537054.92</v>
      </c>
      <c r="H44" s="53">
        <v>32799999.24</v>
      </c>
      <c r="I44" s="9">
        <v>5280370</v>
      </c>
      <c r="J44" s="9">
        <v>0.73</v>
      </c>
      <c r="K44" s="9">
        <v>0.54</v>
      </c>
      <c r="L44">
        <v>3</v>
      </c>
      <c r="M44">
        <v>1</v>
      </c>
      <c r="N44">
        <v>36.05</v>
      </c>
      <c r="O44">
        <v>3</v>
      </c>
    </row>
    <row r="45" spans="1:15" ht="15">
      <c r="A45" s="7">
        <v>2005</v>
      </c>
      <c r="B45" s="7">
        <v>568.2</v>
      </c>
      <c r="C45">
        <v>3445</v>
      </c>
      <c r="D45" s="52">
        <v>2874.019558</v>
      </c>
      <c r="E45">
        <v>72.898793</v>
      </c>
      <c r="F45">
        <v>2</v>
      </c>
      <c r="G45" s="9">
        <v>28698483.94</v>
      </c>
      <c r="H45" s="53">
        <v>34400001.53</v>
      </c>
      <c r="I45" s="9">
        <v>4984058</v>
      </c>
      <c r="J45" s="9">
        <v>0.73</v>
      </c>
      <c r="K45" s="9">
        <v>0.54</v>
      </c>
      <c r="L45">
        <v>2</v>
      </c>
      <c r="M45">
        <v>1</v>
      </c>
      <c r="N45">
        <v>50.59</v>
      </c>
      <c r="O45">
        <v>3</v>
      </c>
    </row>
    <row r="46" spans="1:15" ht="15">
      <c r="A46" s="7">
        <v>2006</v>
      </c>
      <c r="B46" s="7">
        <v>522.7</v>
      </c>
      <c r="C46">
        <v>3424</v>
      </c>
      <c r="D46" s="52">
        <v>2942.943675</v>
      </c>
      <c r="E46">
        <v>68.687877</v>
      </c>
      <c r="F46">
        <v>2</v>
      </c>
      <c r="G46" s="9">
        <v>16442321.86</v>
      </c>
      <c r="H46" s="53">
        <v>19129999.16</v>
      </c>
      <c r="I46" s="9">
        <v>4748973</v>
      </c>
      <c r="J46" s="9">
        <v>0.73</v>
      </c>
      <c r="K46" s="9">
        <v>0.54</v>
      </c>
      <c r="L46">
        <v>2</v>
      </c>
      <c r="M46">
        <v>1</v>
      </c>
      <c r="N46">
        <v>61</v>
      </c>
      <c r="O46">
        <v>3</v>
      </c>
    </row>
    <row r="47" spans="1:15" ht="15">
      <c r="A47" s="7">
        <v>2007</v>
      </c>
      <c r="B47" s="7">
        <v>552.2</v>
      </c>
      <c r="C47">
        <v>3529</v>
      </c>
      <c r="D47" s="52">
        <v>3114.671642</v>
      </c>
      <c r="E47">
        <v>71.746736</v>
      </c>
      <c r="F47">
        <v>2</v>
      </c>
      <c r="G47" s="9">
        <v>61084279.25</v>
      </c>
      <c r="H47" s="53">
        <v>69209999.08</v>
      </c>
      <c r="I47" s="9">
        <v>4235849</v>
      </c>
      <c r="J47" s="9">
        <v>0.73</v>
      </c>
      <c r="K47" s="9">
        <v>0.55</v>
      </c>
      <c r="L47">
        <v>2</v>
      </c>
      <c r="M47">
        <v>1</v>
      </c>
      <c r="N47">
        <v>69.04</v>
      </c>
      <c r="O47">
        <v>3</v>
      </c>
    </row>
    <row r="48" spans="1:15" ht="15">
      <c r="A48" s="7">
        <v>2008</v>
      </c>
      <c r="B48" s="7">
        <v>594.8</v>
      </c>
      <c r="C48">
        <v>4021</v>
      </c>
      <c r="D48" s="52">
        <v>3617.938457</v>
      </c>
      <c r="E48">
        <v>81.798056</v>
      </c>
      <c r="F48">
        <v>2</v>
      </c>
      <c r="G48" s="9">
        <v>97786011.59</v>
      </c>
      <c r="H48" s="53">
        <v>108680000.3</v>
      </c>
      <c r="I48" s="9">
        <v>4533000</v>
      </c>
      <c r="J48" s="9">
        <v>0.73</v>
      </c>
      <c r="K48" s="9">
        <v>0.54</v>
      </c>
      <c r="L48">
        <v>2</v>
      </c>
      <c r="M48">
        <v>1</v>
      </c>
      <c r="N48">
        <v>94.1</v>
      </c>
      <c r="O48">
        <v>3</v>
      </c>
    </row>
    <row r="49" spans="1:15" ht="15">
      <c r="A49" s="7">
        <v>2009</v>
      </c>
      <c r="B49" s="7">
        <v>608.9</v>
      </c>
      <c r="C49">
        <v>4339</v>
      </c>
      <c r="D49" s="52">
        <v>3933.825033</v>
      </c>
      <c r="E49">
        <v>80.077013</v>
      </c>
      <c r="F49">
        <v>1</v>
      </c>
      <c r="G49" s="9">
        <v>141459948.2</v>
      </c>
      <c r="H49" s="53">
        <v>156029998.8</v>
      </c>
      <c r="I49" s="9">
        <v>4667235</v>
      </c>
      <c r="J49" s="9">
        <v>0.73</v>
      </c>
      <c r="K49" s="9">
        <v>0.54</v>
      </c>
      <c r="L49">
        <v>2</v>
      </c>
      <c r="M49">
        <v>1</v>
      </c>
      <c r="N49">
        <v>60.86</v>
      </c>
      <c r="O49">
        <v>3</v>
      </c>
    </row>
    <row r="50" spans="1:15" ht="15">
      <c r="A50" s="7">
        <v>2010</v>
      </c>
      <c r="B50" s="7">
        <v>577.3</v>
      </c>
      <c r="C50">
        <v>4570</v>
      </c>
      <c r="D50" s="52">
        <v>4191.533591</v>
      </c>
      <c r="E50">
        <v>85.355121</v>
      </c>
      <c r="F50">
        <v>1</v>
      </c>
      <c r="G50" s="9">
        <v>114272025.1</v>
      </c>
      <c r="H50" s="53">
        <v>124589996.3</v>
      </c>
      <c r="I50" s="9">
        <v>4365833</v>
      </c>
      <c r="J50" s="9">
        <v>0.72</v>
      </c>
      <c r="K50" s="9">
        <v>0.56</v>
      </c>
      <c r="L50">
        <v>2</v>
      </c>
      <c r="M50">
        <v>1</v>
      </c>
      <c r="N50">
        <v>77.38</v>
      </c>
      <c r="O50">
        <v>3</v>
      </c>
    </row>
    <row r="51" spans="1:15" ht="15">
      <c r="A51" s="7">
        <v>2011</v>
      </c>
      <c r="B51" s="7">
        <v>548.9</v>
      </c>
      <c r="C51">
        <v>5276</v>
      </c>
      <c r="D51" s="52">
        <v>4940.149345</v>
      </c>
      <c r="E51">
        <v>89.305437</v>
      </c>
      <c r="F51">
        <v>1</v>
      </c>
      <c r="G51" s="9">
        <v>173869663.4</v>
      </c>
      <c r="H51" s="53">
        <v>185690002.4</v>
      </c>
      <c r="I51" s="9">
        <v>4230173</v>
      </c>
      <c r="J51" s="9">
        <v>0.72</v>
      </c>
      <c r="K51" s="9">
        <v>0.56</v>
      </c>
      <c r="L51">
        <v>2</v>
      </c>
      <c r="M51">
        <v>1</v>
      </c>
      <c r="N51">
        <v>107.46</v>
      </c>
      <c r="O51">
        <v>3</v>
      </c>
    </row>
    <row r="52" spans="1:15" ht="15">
      <c r="A52" s="7">
        <v>2012</v>
      </c>
      <c r="B52" s="7">
        <v>566</v>
      </c>
      <c r="C52">
        <v>5271</v>
      </c>
      <c r="D52" s="52">
        <v>5030.122443</v>
      </c>
      <c r="E52">
        <v>98.847545</v>
      </c>
      <c r="F52">
        <v>1</v>
      </c>
      <c r="G52" s="9">
        <v>168605956.5</v>
      </c>
      <c r="H52" s="53">
        <v>176679992.7</v>
      </c>
      <c r="I52" s="9">
        <v>3947285</v>
      </c>
      <c r="J52" s="9">
        <v>0.72</v>
      </c>
      <c r="K52" s="9">
        <v>0.56</v>
      </c>
      <c r="L52">
        <v>2</v>
      </c>
      <c r="M52">
        <v>1</v>
      </c>
      <c r="N52">
        <v>109.45</v>
      </c>
      <c r="O52">
        <v>3</v>
      </c>
    </row>
    <row r="53" spans="1:15" ht="15">
      <c r="A53" s="7">
        <v>2013</v>
      </c>
      <c r="B53" s="7">
        <v>593.9</v>
      </c>
      <c r="C53">
        <v>5690</v>
      </c>
      <c r="D53" s="52">
        <v>5525.266192</v>
      </c>
      <c r="E53">
        <v>106.30648</v>
      </c>
      <c r="F53">
        <v>1</v>
      </c>
      <c r="G53" s="9">
        <v>141520619.5</v>
      </c>
      <c r="H53" s="53">
        <v>145740005.5</v>
      </c>
      <c r="I53" s="9">
        <v>3815782</v>
      </c>
      <c r="J53" s="9">
        <v>0.67</v>
      </c>
      <c r="K53" s="9">
        <v>0.54</v>
      </c>
      <c r="L53">
        <v>2</v>
      </c>
      <c r="M53">
        <v>1</v>
      </c>
      <c r="N53">
        <v>105.87</v>
      </c>
      <c r="O53">
        <v>3</v>
      </c>
    </row>
    <row r="54" spans="1:15" ht="15">
      <c r="A54" s="7">
        <v>2014</v>
      </c>
      <c r="B54" s="7">
        <v>596.1</v>
      </c>
      <c r="C54">
        <v>6293</v>
      </c>
      <c r="D54" s="52">
        <v>6226.418315</v>
      </c>
      <c r="E54">
        <v>98.770849</v>
      </c>
      <c r="F54">
        <v>1</v>
      </c>
      <c r="G54" s="9">
        <v>44118225.58</v>
      </c>
      <c r="H54" s="53">
        <v>44590000.15</v>
      </c>
      <c r="I54" s="9">
        <v>4044422</v>
      </c>
      <c r="J54" s="9">
        <v>0.65</v>
      </c>
      <c r="K54" s="9">
        <v>0.54</v>
      </c>
      <c r="L54">
        <v>2</v>
      </c>
      <c r="M54">
        <v>1</v>
      </c>
      <c r="N54">
        <v>96.29</v>
      </c>
      <c r="O54">
        <v>3</v>
      </c>
    </row>
    <row r="55" spans="1:15" ht="15">
      <c r="A55" s="7">
        <v>2015</v>
      </c>
      <c r="B55" s="7">
        <v>680.7</v>
      </c>
      <c r="C55">
        <v>6195</v>
      </c>
      <c r="D55" s="52">
        <v>6195</v>
      </c>
      <c r="E55">
        <v>102.71541</v>
      </c>
      <c r="F55">
        <v>1</v>
      </c>
      <c r="G55" s="9">
        <v>78419998.17</v>
      </c>
      <c r="H55" s="53">
        <v>78419998.17</v>
      </c>
      <c r="I55" s="9">
        <v>4009232</v>
      </c>
      <c r="J55" s="9">
        <v>0.66</v>
      </c>
      <c r="K55" s="9">
        <v>0.54</v>
      </c>
      <c r="L55">
        <v>2</v>
      </c>
      <c r="M55">
        <v>1</v>
      </c>
      <c r="N55">
        <v>49.49</v>
      </c>
      <c r="O55">
        <v>3</v>
      </c>
    </row>
    <row r="56" spans="1:15" ht="15">
      <c r="A56" s="7">
        <v>2016</v>
      </c>
      <c r="B56" s="7">
        <v>663.5</v>
      </c>
      <c r="C56">
        <v>6459</v>
      </c>
      <c r="D56" s="52">
        <v>6529.630806</v>
      </c>
      <c r="E56">
        <v>96.269515</v>
      </c>
      <c r="F56">
        <v>1</v>
      </c>
      <c r="G56" s="9">
        <v>42802998.81</v>
      </c>
      <c r="H56" s="53">
        <v>42340000.15</v>
      </c>
      <c r="I56" s="9">
        <v>3798448</v>
      </c>
      <c r="J56" s="9">
        <v>0.66</v>
      </c>
      <c r="K56" s="9">
        <v>0.54</v>
      </c>
      <c r="L56">
        <v>2</v>
      </c>
      <c r="M56">
        <v>1</v>
      </c>
      <c r="N56">
        <v>40.76</v>
      </c>
      <c r="O56">
        <v>3</v>
      </c>
    </row>
    <row r="57" spans="1:15" ht="15">
      <c r="A57" s="7">
        <v>2017</v>
      </c>
      <c r="B57" s="7">
        <v>623.7</v>
      </c>
      <c r="C57">
        <v>6929</v>
      </c>
      <c r="D57" s="52">
        <v>7137.915475</v>
      </c>
      <c r="E57">
        <v>102.37409</v>
      </c>
      <c r="F57">
        <v>1</v>
      </c>
      <c r="G57" s="9">
        <v>12001257.41</v>
      </c>
      <c r="H57" s="53">
        <v>11649999.62</v>
      </c>
      <c r="I57" s="9">
        <v>3713331</v>
      </c>
      <c r="J57" s="9">
        <v>0.71</v>
      </c>
      <c r="K57" s="9">
        <v>0.52</v>
      </c>
      <c r="L57">
        <v>2</v>
      </c>
      <c r="M57">
        <v>1</v>
      </c>
      <c r="N57">
        <v>52.51</v>
      </c>
      <c r="O57">
        <v>3</v>
      </c>
    </row>
    <row r="58" spans="1:15" ht="15">
      <c r="A58" s="7">
        <v>2018</v>
      </c>
      <c r="B58" s="7">
        <v>648.7</v>
      </c>
      <c r="C58">
        <v>7567</v>
      </c>
      <c r="D58" s="52">
        <v>7979.093311</v>
      </c>
      <c r="E58">
        <v>78.253721</v>
      </c>
      <c r="F58">
        <v>1</v>
      </c>
      <c r="G58" s="9">
        <v>70332430.23</v>
      </c>
      <c r="H58" s="53">
        <v>66699996.95</v>
      </c>
      <c r="I58" s="9">
        <v>3154516</v>
      </c>
      <c r="J58" s="9">
        <v>0.71</v>
      </c>
      <c r="K58" s="9">
        <v>0.56</v>
      </c>
      <c r="L58">
        <v>2</v>
      </c>
      <c r="M58">
        <v>1</v>
      </c>
      <c r="N58">
        <v>69.78</v>
      </c>
      <c r="O58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7.75390625" style="7" customWidth="1"/>
    <col min="2" max="2" width="11.75390625" style="0" customWidth="1"/>
    <col min="3" max="3" width="14.75390625" style="0" customWidth="1"/>
    <col min="4" max="4" width="18.75390625" style="3" customWidth="1"/>
    <col min="5" max="5" width="9.50390625" style="3" customWidth="1"/>
    <col min="6" max="6" width="23.00390625" style="0" customWidth="1"/>
    <col min="7" max="7" width="10.125" style="0" customWidth="1"/>
    <col min="8" max="8" width="12.00390625" style="0" customWidth="1"/>
    <col min="9" max="9" width="13.875" style="0" customWidth="1"/>
    <col min="10" max="10" width="12.00390625" style="3" customWidth="1"/>
    <col min="11" max="11" width="11.75390625" style="0" customWidth="1"/>
    <col min="12" max="12" width="13.125" style="0" customWidth="1"/>
    <col min="13" max="30" width="8.75390625" style="56" customWidth="1"/>
  </cols>
  <sheetData>
    <row r="1" ht="27" customHeight="1">
      <c r="A1" s="10" t="s">
        <v>52</v>
      </c>
    </row>
    <row r="2" spans="2:12" ht="33" customHeight="1">
      <c r="B2" s="1" t="s">
        <v>54</v>
      </c>
      <c r="C2" s="61" t="s">
        <v>53</v>
      </c>
      <c r="D2" s="62"/>
      <c r="E2" s="62"/>
      <c r="F2" s="62"/>
      <c r="G2" s="62"/>
      <c r="H2" s="62"/>
      <c r="I2" s="62"/>
      <c r="J2" s="62"/>
      <c r="K2" s="62"/>
      <c r="L2" s="62"/>
    </row>
    <row r="3" spans="1:12" ht="24" customHeight="1">
      <c r="A3" s="11"/>
      <c r="B3" s="12" t="s">
        <v>55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</row>
    <row r="4" spans="1:30" s="4" customFormat="1" ht="48.75" customHeight="1">
      <c r="A4" s="14" t="s">
        <v>0</v>
      </c>
      <c r="B4" s="36" t="s">
        <v>17</v>
      </c>
      <c r="C4" s="38" t="s">
        <v>18</v>
      </c>
      <c r="D4" s="38" t="s">
        <v>19</v>
      </c>
      <c r="E4" s="38" t="s">
        <v>20</v>
      </c>
      <c r="F4" s="38" t="s">
        <v>21</v>
      </c>
      <c r="G4" s="38" t="s">
        <v>22</v>
      </c>
      <c r="H4" s="38" t="s">
        <v>8</v>
      </c>
      <c r="I4" s="38" t="s">
        <v>9</v>
      </c>
      <c r="J4" s="38" t="s">
        <v>10</v>
      </c>
      <c r="K4" s="38" t="s">
        <v>23</v>
      </c>
      <c r="L4" s="38" t="s">
        <v>24</v>
      </c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12" ht="15">
      <c r="A5" s="16">
        <v>2000</v>
      </c>
      <c r="B5" s="17">
        <v>0.16</v>
      </c>
      <c r="C5" s="42">
        <v>6938</v>
      </c>
      <c r="D5" s="43">
        <v>47.90210818761235</v>
      </c>
      <c r="E5" s="44">
        <v>2</v>
      </c>
      <c r="F5" s="42">
        <v>1799999.95231628</v>
      </c>
      <c r="G5" s="45">
        <v>546000</v>
      </c>
      <c r="H5" s="46">
        <v>0.6</v>
      </c>
      <c r="I5" s="47">
        <v>0.66</v>
      </c>
      <c r="J5" s="44">
        <v>3</v>
      </c>
      <c r="K5" s="44">
        <v>1</v>
      </c>
      <c r="L5" s="44">
        <v>27.6</v>
      </c>
    </row>
    <row r="6" spans="1:12" ht="15">
      <c r="A6" s="16">
        <f>A5+1</f>
        <v>2001</v>
      </c>
      <c r="B6" s="17">
        <v>0.16</v>
      </c>
      <c r="C6" s="42">
        <v>7639</v>
      </c>
      <c r="D6" s="43">
        <v>59.2481420854477</v>
      </c>
      <c r="E6" s="44">
        <v>2</v>
      </c>
      <c r="F6" s="42">
        <v>319999.99284744303</v>
      </c>
      <c r="G6" s="45">
        <v>420000</v>
      </c>
      <c r="H6" s="46">
        <v>0.6</v>
      </c>
      <c r="I6" s="47">
        <v>0.66</v>
      </c>
      <c r="J6" s="44">
        <v>3</v>
      </c>
      <c r="K6" s="44">
        <v>1</v>
      </c>
      <c r="L6" s="44">
        <v>23.12</v>
      </c>
    </row>
    <row r="7" spans="1:12" ht="15">
      <c r="A7" s="16">
        <f aca="true" t="shared" si="0" ref="A7:A23">A6+1</f>
        <v>2002</v>
      </c>
      <c r="B7" s="17">
        <v>0.16</v>
      </c>
      <c r="C7" s="42">
        <v>8208</v>
      </c>
      <c r="D7" s="43">
        <v>60.45039433446</v>
      </c>
      <c r="E7" s="44">
        <v>2</v>
      </c>
      <c r="F7" s="42">
        <v>4750000</v>
      </c>
      <c r="G7" s="45">
        <v>417847</v>
      </c>
      <c r="H7" s="46">
        <v>0.6</v>
      </c>
      <c r="I7" s="47">
        <v>0.66</v>
      </c>
      <c r="J7" s="44">
        <v>3</v>
      </c>
      <c r="K7" s="44">
        <v>1</v>
      </c>
      <c r="L7" s="44">
        <v>24.36</v>
      </c>
    </row>
    <row r="8" spans="1:12" ht="15">
      <c r="A8" s="16">
        <f t="shared" si="0"/>
        <v>2003</v>
      </c>
      <c r="B8" s="17">
        <v>0.16</v>
      </c>
      <c r="C8" s="42">
        <v>8518</v>
      </c>
      <c r="D8" s="43">
        <v>62.40247702134288</v>
      </c>
      <c r="E8" s="44">
        <v>2</v>
      </c>
      <c r="F8" s="42">
        <v>21270000.4577637</v>
      </c>
      <c r="G8" s="45">
        <v>364555</v>
      </c>
      <c r="H8" s="46">
        <v>0.6</v>
      </c>
      <c r="I8" s="47">
        <v>0.66</v>
      </c>
      <c r="J8" s="44">
        <v>3</v>
      </c>
      <c r="K8" s="44">
        <v>1</v>
      </c>
      <c r="L8" s="44">
        <v>28.1</v>
      </c>
    </row>
    <row r="9" spans="1:12" ht="15">
      <c r="A9" s="16">
        <f t="shared" si="0"/>
        <v>2004</v>
      </c>
      <c r="B9" s="17">
        <v>0.16</v>
      </c>
      <c r="C9" s="42">
        <v>9144</v>
      </c>
      <c r="D9" s="43">
        <v>67.26832631731746</v>
      </c>
      <c r="E9" s="44">
        <v>2</v>
      </c>
      <c r="F9" s="42">
        <v>30299999.237060502</v>
      </c>
      <c r="G9" s="45">
        <v>361237</v>
      </c>
      <c r="H9" s="46">
        <v>0.6</v>
      </c>
      <c r="I9" s="47">
        <v>0.66</v>
      </c>
      <c r="J9" s="44">
        <v>3</v>
      </c>
      <c r="K9" s="44">
        <v>1</v>
      </c>
      <c r="L9" s="44">
        <v>36.05</v>
      </c>
    </row>
    <row r="10" spans="1:12" ht="15">
      <c r="A10" s="16">
        <f t="shared" si="0"/>
        <v>2005</v>
      </c>
      <c r="B10" s="17">
        <v>0.31</v>
      </c>
      <c r="C10" s="42">
        <v>10481</v>
      </c>
      <c r="D10" s="43">
        <v>72.76447178950124</v>
      </c>
      <c r="E10" s="44">
        <v>2</v>
      </c>
      <c r="F10" s="42">
        <v>-629999.995231628</v>
      </c>
      <c r="G10" s="45">
        <v>442400</v>
      </c>
      <c r="H10" s="47">
        <v>0.67</v>
      </c>
      <c r="I10" s="47">
        <v>0.66</v>
      </c>
      <c r="J10" s="44">
        <v>3</v>
      </c>
      <c r="K10" s="44">
        <v>1</v>
      </c>
      <c r="L10" s="44">
        <v>50.59</v>
      </c>
    </row>
    <row r="11" spans="1:12" ht="15">
      <c r="A11" s="16">
        <f t="shared" si="0"/>
        <v>2006</v>
      </c>
      <c r="B11" s="17">
        <v>0.31</v>
      </c>
      <c r="C11" s="42">
        <v>11933</v>
      </c>
      <c r="D11" s="43">
        <v>73.6793730787196</v>
      </c>
      <c r="E11" s="44">
        <v>2</v>
      </c>
      <c r="F11" s="42">
        <v>-889999.985694885</v>
      </c>
      <c r="G11" s="45">
        <v>348300</v>
      </c>
      <c r="H11" s="47">
        <v>0.67</v>
      </c>
      <c r="I11" s="47">
        <v>0.66</v>
      </c>
      <c r="J11" s="44">
        <v>3</v>
      </c>
      <c r="K11" s="44">
        <v>1</v>
      </c>
      <c r="L11" s="44">
        <v>61</v>
      </c>
    </row>
    <row r="12" spans="1:12" ht="15">
      <c r="A12" s="16">
        <f t="shared" si="0"/>
        <v>2007</v>
      </c>
      <c r="B12" s="17">
        <v>0.93</v>
      </c>
      <c r="C12" s="42">
        <v>13191</v>
      </c>
      <c r="D12" s="43">
        <v>71.30926700117672</v>
      </c>
      <c r="E12" s="44">
        <v>2</v>
      </c>
      <c r="F12" s="42">
        <v>18700000.762939498</v>
      </c>
      <c r="G12" s="45">
        <v>353500</v>
      </c>
      <c r="H12" s="47">
        <v>0.67</v>
      </c>
      <c r="I12" s="47">
        <v>0.66</v>
      </c>
      <c r="J12" s="44">
        <v>3</v>
      </c>
      <c r="K12" s="44">
        <v>1</v>
      </c>
      <c r="L12" s="44">
        <v>69.04</v>
      </c>
    </row>
    <row r="13" spans="1:12" ht="15">
      <c r="A13" s="16">
        <f t="shared" si="0"/>
        <v>2008</v>
      </c>
      <c r="B13" s="17">
        <v>0.93</v>
      </c>
      <c r="C13" s="42">
        <v>14166</v>
      </c>
      <c r="D13" s="43">
        <v>75.61754694096133</v>
      </c>
      <c r="E13" s="44">
        <v>2</v>
      </c>
      <c r="F13" s="42">
        <v>9279999.73297119</v>
      </c>
      <c r="G13" s="45">
        <v>310700</v>
      </c>
      <c r="H13" s="47">
        <v>0.67</v>
      </c>
      <c r="I13" s="47">
        <v>0.66</v>
      </c>
      <c r="J13" s="44">
        <v>3</v>
      </c>
      <c r="K13" s="44">
        <v>1</v>
      </c>
      <c r="L13" s="44">
        <v>94.1</v>
      </c>
    </row>
    <row r="14" spans="1:12" ht="15">
      <c r="A14" s="16">
        <f t="shared" si="0"/>
        <v>2009</v>
      </c>
      <c r="B14" s="17">
        <v>1.24</v>
      </c>
      <c r="C14" s="42">
        <v>16144</v>
      </c>
      <c r="D14" s="43">
        <v>82.79589444978166</v>
      </c>
      <c r="E14" s="44">
        <v>2</v>
      </c>
      <c r="F14" s="42">
        <f>30180000+290000</f>
        <v>30470000</v>
      </c>
      <c r="G14" s="45">
        <v>356700</v>
      </c>
      <c r="H14" s="47">
        <v>0.67</v>
      </c>
      <c r="I14" s="47">
        <v>0.66</v>
      </c>
      <c r="J14" s="44">
        <v>3</v>
      </c>
      <c r="K14" s="44">
        <v>1</v>
      </c>
      <c r="L14" s="44">
        <v>60.86</v>
      </c>
    </row>
    <row r="15" spans="1:12" ht="15">
      <c r="A15" s="16">
        <f t="shared" si="0"/>
        <v>2010</v>
      </c>
      <c r="B15" s="17">
        <v>1.55</v>
      </c>
      <c r="C15" s="42">
        <v>17607</v>
      </c>
      <c r="D15" s="44"/>
      <c r="E15" s="44">
        <v>2</v>
      </c>
      <c r="F15" s="42">
        <f>49520000+980000</f>
        <v>50500000</v>
      </c>
      <c r="G15" s="45">
        <v>258800</v>
      </c>
      <c r="H15" s="47">
        <v>0.67</v>
      </c>
      <c r="I15" s="47">
        <v>0.66</v>
      </c>
      <c r="J15" s="44">
        <v>3</v>
      </c>
      <c r="K15" s="44">
        <v>1</v>
      </c>
      <c r="L15" s="44">
        <v>77.38</v>
      </c>
    </row>
    <row r="16" spans="1:12" ht="15">
      <c r="A16" s="16">
        <f t="shared" si="0"/>
        <v>2011</v>
      </c>
      <c r="B16" s="17">
        <v>2.64</v>
      </c>
      <c r="C16" s="42">
        <v>18629</v>
      </c>
      <c r="D16" s="44"/>
      <c r="E16" s="44">
        <v>2</v>
      </c>
      <c r="F16" s="42">
        <f>77780000+1120000</f>
        <v>78900000</v>
      </c>
      <c r="G16" s="45">
        <v>285410</v>
      </c>
      <c r="H16" s="47">
        <v>0.67</v>
      </c>
      <c r="I16" s="47">
        <v>0.66</v>
      </c>
      <c r="J16" s="44">
        <v>3</v>
      </c>
      <c r="K16" s="44">
        <v>2</v>
      </c>
      <c r="L16" s="44">
        <v>107.46</v>
      </c>
    </row>
    <row r="17" spans="1:12" ht="15">
      <c r="A17" s="16">
        <f t="shared" si="0"/>
        <v>2012</v>
      </c>
      <c r="B17" s="17">
        <v>3.42</v>
      </c>
      <c r="C17" s="42">
        <v>20278</v>
      </c>
      <c r="D17" s="43">
        <v>85.57021877391757</v>
      </c>
      <c r="E17" s="44">
        <v>2</v>
      </c>
      <c r="F17" s="42">
        <f>9540000+770000</f>
        <v>10310000</v>
      </c>
      <c r="G17" s="45">
        <v>258600</v>
      </c>
      <c r="H17" s="47">
        <v>0.67</v>
      </c>
      <c r="I17" s="47">
        <v>0.66</v>
      </c>
      <c r="J17" s="44">
        <v>3</v>
      </c>
      <c r="K17" s="44">
        <v>2</v>
      </c>
      <c r="L17" s="44">
        <v>109.45</v>
      </c>
    </row>
    <row r="18" spans="1:12" ht="15">
      <c r="A18" s="16">
        <f t="shared" si="0"/>
        <v>2013</v>
      </c>
      <c r="B18" s="17">
        <v>4.35</v>
      </c>
      <c r="C18" s="42">
        <v>22362</v>
      </c>
      <c r="D18" s="43">
        <v>83.33493360060852</v>
      </c>
      <c r="E18" s="44">
        <v>2</v>
      </c>
      <c r="F18" s="48">
        <f>23710000+760000</f>
        <v>24470000</v>
      </c>
      <c r="G18" s="45">
        <v>173085</v>
      </c>
      <c r="H18" s="47">
        <v>0.67</v>
      </c>
      <c r="I18" s="47">
        <v>0.66</v>
      </c>
      <c r="J18" s="44">
        <v>3</v>
      </c>
      <c r="K18" s="44">
        <v>2</v>
      </c>
      <c r="L18" s="44">
        <v>105.87</v>
      </c>
    </row>
    <row r="19" spans="1:12" ht="15">
      <c r="A19" s="16">
        <f t="shared" si="0"/>
        <v>2014</v>
      </c>
      <c r="B19" s="17">
        <v>10.1</v>
      </c>
      <c r="C19" s="42">
        <v>23122</v>
      </c>
      <c r="D19" s="43">
        <v>81.99580240220781</v>
      </c>
      <c r="E19" s="44">
        <v>2</v>
      </c>
      <c r="F19" s="42">
        <f>31300000+910000</f>
        <v>32210000</v>
      </c>
      <c r="G19" s="45">
        <v>159607</v>
      </c>
      <c r="H19" s="47">
        <v>0.67</v>
      </c>
      <c r="I19" s="47">
        <v>0.66</v>
      </c>
      <c r="J19" s="44">
        <v>3</v>
      </c>
      <c r="K19" s="44">
        <v>2</v>
      </c>
      <c r="L19" s="44">
        <v>96.29</v>
      </c>
    </row>
    <row r="20" spans="1:12" ht="15">
      <c r="A20" s="16">
        <f t="shared" si="0"/>
        <v>2015</v>
      </c>
      <c r="B20" s="17">
        <v>13.99</v>
      </c>
      <c r="C20" s="42">
        <v>24555</v>
      </c>
      <c r="D20" s="43">
        <v>82.98616153977805</v>
      </c>
      <c r="E20" s="44">
        <v>2</v>
      </c>
      <c r="F20" s="42">
        <f>24750000+690000</f>
        <v>25440000</v>
      </c>
      <c r="G20" s="45">
        <v>116105</v>
      </c>
      <c r="H20" s="47">
        <v>0.67</v>
      </c>
      <c r="I20" s="47">
        <v>0.65</v>
      </c>
      <c r="J20" s="44">
        <v>3</v>
      </c>
      <c r="K20" s="44">
        <v>2</v>
      </c>
      <c r="L20" s="44">
        <v>49.49</v>
      </c>
    </row>
    <row r="21" spans="1:12" ht="15">
      <c r="A21" s="16">
        <f t="shared" si="0"/>
        <v>2016</v>
      </c>
      <c r="B21" s="17">
        <v>29.53</v>
      </c>
      <c r="C21" s="42">
        <v>25530</v>
      </c>
      <c r="D21" s="43">
        <v>82.22908311494938</v>
      </c>
      <c r="E21" s="44">
        <v>2</v>
      </c>
      <c r="F21" s="42">
        <f>18000000+710000</f>
        <v>18710000</v>
      </c>
      <c r="G21" s="45">
        <v>83369</v>
      </c>
      <c r="H21" s="47">
        <v>0.67</v>
      </c>
      <c r="I21" s="47">
        <v>0.65</v>
      </c>
      <c r="J21" s="44">
        <v>3</v>
      </c>
      <c r="K21" s="44">
        <v>2</v>
      </c>
      <c r="L21" s="44">
        <v>40.76</v>
      </c>
    </row>
    <row r="22" spans="1:12" ht="15">
      <c r="A22" s="16">
        <f t="shared" si="0"/>
        <v>2017</v>
      </c>
      <c r="B22" s="17">
        <v>29.53</v>
      </c>
      <c r="C22" s="42">
        <v>27708</v>
      </c>
      <c r="D22" s="43">
        <v>82.35865122392798</v>
      </c>
      <c r="E22" s="44">
        <v>1</v>
      </c>
      <c r="F22" s="42"/>
      <c r="G22" s="45">
        <v>131194</v>
      </c>
      <c r="H22" s="47">
        <v>0.67</v>
      </c>
      <c r="I22" s="47">
        <v>0.65</v>
      </c>
      <c r="J22" s="44">
        <v>3</v>
      </c>
      <c r="K22" s="44">
        <v>2</v>
      </c>
      <c r="L22" s="44">
        <v>52.51</v>
      </c>
    </row>
    <row r="23" spans="1:12" ht="15">
      <c r="A23" s="16">
        <f t="shared" si="0"/>
        <v>2018</v>
      </c>
      <c r="B23" s="17">
        <v>37.3</v>
      </c>
      <c r="C23" s="42">
        <v>22463</v>
      </c>
      <c r="D23" s="43">
        <v>80.89083745204012</v>
      </c>
      <c r="E23" s="44">
        <v>1</v>
      </c>
      <c r="F23" s="42"/>
      <c r="G23" s="45">
        <v>146831</v>
      </c>
      <c r="H23" s="47">
        <v>0.68</v>
      </c>
      <c r="I23" s="47">
        <v>0.69</v>
      </c>
      <c r="J23" s="44">
        <v>3</v>
      </c>
      <c r="K23" s="44">
        <v>2</v>
      </c>
      <c r="L23" s="44">
        <v>69.78</v>
      </c>
    </row>
    <row r="24" spans="1:30" s="25" customFormat="1" ht="33" customHeight="1">
      <c r="A24" s="23"/>
      <c r="B24" s="24"/>
      <c r="E24" s="27" t="s">
        <v>25</v>
      </c>
      <c r="J24" s="27" t="s">
        <v>26</v>
      </c>
      <c r="K24" s="27" t="s">
        <v>27</v>
      </c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s="25" customFormat="1" ht="30.75" customHeight="1">
      <c r="A25" s="23"/>
      <c r="B25" s="24"/>
      <c r="E25" s="27" t="s">
        <v>28</v>
      </c>
      <c r="J25" s="27" t="s">
        <v>113</v>
      </c>
      <c r="K25" s="27" t="s">
        <v>29</v>
      </c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s="25" customFormat="1" ht="24">
      <c r="A26" s="23"/>
      <c r="B26" s="24"/>
      <c r="E26" s="26"/>
      <c r="J26" s="27" t="s">
        <v>30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2" ht="15">
      <c r="A27" s="11"/>
      <c r="B27" s="28"/>
    </row>
    <row r="28" spans="1:30" s="7" customFormat="1" ht="15">
      <c r="A28" s="37" t="s">
        <v>31</v>
      </c>
      <c r="B28" s="35" t="s">
        <v>32</v>
      </c>
      <c r="G28" s="35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2:30" s="7" customFormat="1" ht="15">
      <c r="B29" s="7" t="s">
        <v>39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1" ht="15">
      <c r="B31" s="35" t="s">
        <v>56</v>
      </c>
    </row>
    <row r="32" ht="15">
      <c r="B32" s="7" t="s">
        <v>40</v>
      </c>
    </row>
    <row r="33" spans="1:3" ht="15">
      <c r="A33" s="32"/>
      <c r="B33" s="33"/>
      <c r="C33" s="34"/>
    </row>
    <row r="34" spans="1:3" ht="15">
      <c r="A34" s="32"/>
      <c r="B34" s="35" t="s">
        <v>33</v>
      </c>
      <c r="C34" s="34"/>
    </row>
    <row r="35" spans="1:3" ht="15">
      <c r="A35" s="32"/>
      <c r="B35" s="7" t="s">
        <v>34</v>
      </c>
      <c r="C35" s="34"/>
    </row>
    <row r="36" spans="1:3" ht="15">
      <c r="A36" s="32"/>
      <c r="B36" s="33"/>
      <c r="C36" s="34"/>
    </row>
    <row r="37" spans="1:3" ht="15">
      <c r="A37" s="32"/>
      <c r="B37" s="7" t="s">
        <v>58</v>
      </c>
      <c r="C37" s="34"/>
    </row>
    <row r="38" spans="1:3" ht="15">
      <c r="A38" s="32"/>
      <c r="B38" s="7" t="s">
        <v>59</v>
      </c>
      <c r="C38" s="34"/>
    </row>
    <row r="39" spans="1:3" ht="15">
      <c r="A39" s="32"/>
      <c r="B39" s="33"/>
      <c r="C39" s="34"/>
    </row>
    <row r="40" spans="1:3" ht="15">
      <c r="A40" s="32"/>
      <c r="B40" s="39" t="s">
        <v>57</v>
      </c>
      <c r="C40" s="34"/>
    </row>
    <row r="41" spans="1:3" ht="15">
      <c r="A41" s="32"/>
      <c r="B41" s="33"/>
      <c r="C41" s="34"/>
    </row>
    <row r="42" spans="1:3" ht="15">
      <c r="A42" s="32"/>
      <c r="B42" s="35" t="s">
        <v>35</v>
      </c>
      <c r="C42" s="34"/>
    </row>
    <row r="43" spans="1:3" ht="15">
      <c r="A43" s="32"/>
      <c r="B43" s="33"/>
      <c r="C43" s="34"/>
    </row>
    <row r="44" spans="1:3" ht="15">
      <c r="A44" s="32"/>
      <c r="B44" s="35" t="s">
        <v>36</v>
      </c>
      <c r="C44" s="34"/>
    </row>
    <row r="45" spans="1:3" ht="15">
      <c r="A45" s="32"/>
      <c r="B45" s="35" t="s">
        <v>41</v>
      </c>
      <c r="C45" s="34"/>
    </row>
    <row r="46" spans="1:3" ht="15">
      <c r="A46" s="32"/>
      <c r="B46" s="33"/>
      <c r="C46" s="34"/>
    </row>
    <row r="47" spans="1:3" ht="15">
      <c r="A47" s="32"/>
      <c r="B47" s="39" t="s">
        <v>60</v>
      </c>
      <c r="C47" s="34"/>
    </row>
    <row r="48" spans="1:3" ht="15">
      <c r="A48" s="32"/>
      <c r="B48" s="39" t="s">
        <v>61</v>
      </c>
      <c r="C48" s="34"/>
    </row>
    <row r="49" spans="1:3" ht="15">
      <c r="A49" s="32"/>
      <c r="C49" s="34"/>
    </row>
    <row r="50" spans="1:3" ht="15">
      <c r="A50" s="32"/>
      <c r="B50" s="35" t="s">
        <v>37</v>
      </c>
      <c r="C50" s="34"/>
    </row>
    <row r="51" spans="1:3" ht="15">
      <c r="A51" s="32"/>
      <c r="C51" s="34"/>
    </row>
    <row r="52" spans="1:3" ht="15">
      <c r="A52" s="32"/>
      <c r="B52" s="35" t="s">
        <v>38</v>
      </c>
      <c r="C52" s="34"/>
    </row>
  </sheetData>
  <sheetProtection/>
  <mergeCells count="1">
    <mergeCell ref="C2:L2"/>
  </mergeCells>
  <hyperlinks>
    <hyperlink ref="B34" r:id="rId1" display="https://bit.ly/2D7fYWO"/>
    <hyperlink ref="B28" r:id="rId2" display="https://tabsoft.co/2EuNeb6"/>
    <hyperlink ref="B4" location="Barbados!B27" display="RE Electricity Generation (Gwh)"/>
    <hyperlink ref="C4" location="Barbados!B30" display="Debt per capita (US$)"/>
    <hyperlink ref="B31" r:id="rId3" display="https://countryeconomy.com/national-debt/barbados "/>
    <hyperlink ref="D4" location="Barbados!B33" display="Domestic credit provided to private sector (% of GDP)"/>
    <hyperlink ref="F4" location="Barbados!B39" display="Net official development assistance and official aid received (current US$)"/>
    <hyperlink ref="G4" location="Barbados!B41" display="Sugar production (tonnes)"/>
    <hyperlink ref="B44" r:id="rId4" display="https://www.idea.int/gsod-indices/#/indices/compare-countries-regions"/>
    <hyperlink ref="B45" r:id="rId5" display="https://www.idea.int/gsod-indices/about#Direct%20Democracy"/>
    <hyperlink ref="H4" location="Barbados!B43" display="Civil Society Participation"/>
    <hyperlink ref="I4" location="Barbados!B46" display="Impartial Administration"/>
    <hyperlink ref="K4" location="Barbados!B49" display="Utility ownership status"/>
    <hyperlink ref="L4" location="Barbados!B51" display="Global Oil Price (ave. US$ per barrel)"/>
    <hyperlink ref="E4" location="Barbados!B36" display="A clear RE roadmap"/>
    <hyperlink ref="J4" location="Barbados!B46" display="Rule enforcemen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7.50390625" style="7" customWidth="1"/>
    <col min="2" max="2" width="11.75390625" style="3" customWidth="1"/>
    <col min="3" max="3" width="14.625" style="0" customWidth="1"/>
    <col min="4" max="4" width="17.75390625" style="3" customWidth="1"/>
    <col min="5" max="5" width="10.00390625" style="0" customWidth="1"/>
    <col min="6" max="6" width="23.75390625" style="0" customWidth="1"/>
    <col min="7" max="7" width="11.125" style="0" customWidth="1"/>
    <col min="8" max="8" width="11.75390625" style="0" customWidth="1"/>
    <col min="9" max="9" width="14.125" style="0" customWidth="1"/>
    <col min="10" max="10" width="11.625" style="0" customWidth="1"/>
    <col min="11" max="11" width="10.375" style="0" customWidth="1"/>
    <col min="12" max="12" width="14.125" style="0" customWidth="1"/>
  </cols>
  <sheetData>
    <row r="1" ht="24.75" customHeight="1">
      <c r="A1" s="10" t="s">
        <v>63</v>
      </c>
    </row>
    <row r="2" spans="1:11" ht="33.75" customHeight="1">
      <c r="A2" s="10"/>
      <c r="B2" s="1" t="s">
        <v>54</v>
      </c>
      <c r="C2" s="61" t="s">
        <v>64</v>
      </c>
      <c r="D2" s="62"/>
      <c r="E2" s="62"/>
      <c r="F2" s="62"/>
      <c r="G2" s="62"/>
      <c r="H2" s="62"/>
      <c r="I2" s="62"/>
      <c r="J2" s="62"/>
      <c r="K2" s="62"/>
    </row>
    <row r="3" spans="1:12" ht="15">
      <c r="A3" s="11"/>
      <c r="B3" s="12" t="s">
        <v>55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</row>
    <row r="4" spans="1:13" s="4" customFormat="1" ht="57" customHeight="1">
      <c r="A4" s="14" t="s">
        <v>0</v>
      </c>
      <c r="B4" s="36" t="s">
        <v>17</v>
      </c>
      <c r="C4" s="38" t="s">
        <v>18</v>
      </c>
      <c r="D4" s="38" t="s">
        <v>19</v>
      </c>
      <c r="E4" s="38" t="s">
        <v>20</v>
      </c>
      <c r="F4" s="38" t="s">
        <v>21</v>
      </c>
      <c r="G4" s="38" t="s">
        <v>22</v>
      </c>
      <c r="H4" s="38" t="s">
        <v>8</v>
      </c>
      <c r="I4" s="38" t="s">
        <v>9</v>
      </c>
      <c r="J4" s="38" t="s">
        <v>10</v>
      </c>
      <c r="K4" s="38" t="s">
        <v>23</v>
      </c>
      <c r="L4" s="38" t="s">
        <v>24</v>
      </c>
      <c r="M4" s="15"/>
    </row>
    <row r="5" spans="1:12" ht="15">
      <c r="A5" s="16">
        <v>2000</v>
      </c>
      <c r="B5" s="17">
        <f>78.4+34.8</f>
        <v>113.2</v>
      </c>
      <c r="C5" s="42">
        <v>3288</v>
      </c>
      <c r="D5" s="43">
        <v>25.564360134232693</v>
      </c>
      <c r="E5" s="44">
        <v>2</v>
      </c>
      <c r="F5" s="42">
        <v>14130000.1144409</v>
      </c>
      <c r="G5" s="45">
        <v>2025000</v>
      </c>
      <c r="H5" s="47">
        <v>0.56</v>
      </c>
      <c r="I5" s="47">
        <v>0.63</v>
      </c>
      <c r="J5" s="44">
        <v>3</v>
      </c>
      <c r="K5" s="44">
        <v>1</v>
      </c>
      <c r="L5" s="44">
        <v>27.6</v>
      </c>
    </row>
    <row r="6" spans="1:12" ht="15">
      <c r="A6" s="16">
        <f>A5+1</f>
        <v>2001</v>
      </c>
      <c r="B6" s="17">
        <f>60.1+0.2+38.3</f>
        <v>98.6</v>
      </c>
      <c r="C6" s="42">
        <v>3906</v>
      </c>
      <c r="D6" s="43">
        <v>12.95205935832291</v>
      </c>
      <c r="E6" s="44">
        <v>2</v>
      </c>
      <c r="F6" s="42">
        <v>58900001.5258789</v>
      </c>
      <c r="G6" s="42">
        <v>2231000</v>
      </c>
      <c r="H6" s="47">
        <v>0.56</v>
      </c>
      <c r="I6" s="47">
        <v>0.63</v>
      </c>
      <c r="J6" s="44">
        <v>3</v>
      </c>
      <c r="K6" s="44">
        <v>2</v>
      </c>
      <c r="L6" s="44">
        <v>23.12</v>
      </c>
    </row>
    <row r="7" spans="1:12" ht="15">
      <c r="A7" s="16">
        <f aca="true" t="shared" si="0" ref="A7:A23">A6+1</f>
        <v>2002</v>
      </c>
      <c r="B7" s="17">
        <f>105+0.2+33.8</f>
        <v>139</v>
      </c>
      <c r="C7" s="42">
        <v>4526</v>
      </c>
      <c r="D7" s="43">
        <v>14.723834195790078</v>
      </c>
      <c r="E7" s="44">
        <v>2</v>
      </c>
      <c r="F7" s="42">
        <v>28530000.6866455</v>
      </c>
      <c r="G7" s="45">
        <v>1965500</v>
      </c>
      <c r="H7" s="47">
        <v>0.56</v>
      </c>
      <c r="I7" s="47">
        <v>0.63</v>
      </c>
      <c r="J7" s="44">
        <v>3</v>
      </c>
      <c r="K7" s="44">
        <v>2</v>
      </c>
      <c r="L7" s="44">
        <v>24.36</v>
      </c>
    </row>
    <row r="8" spans="1:12" ht="15">
      <c r="A8" s="16">
        <f t="shared" si="0"/>
        <v>2003</v>
      </c>
      <c r="B8" s="17">
        <f>146+0.2+30.5</f>
        <v>176.7</v>
      </c>
      <c r="C8" s="42">
        <v>4589</v>
      </c>
      <c r="D8" s="43">
        <v>18.352162311068668</v>
      </c>
      <c r="E8" s="44">
        <v>2</v>
      </c>
      <c r="F8" s="42">
        <v>10550000.1907349</v>
      </c>
      <c r="G8" s="45">
        <v>1775700</v>
      </c>
      <c r="H8" s="47">
        <v>0.56</v>
      </c>
      <c r="I8" s="47">
        <v>0.63</v>
      </c>
      <c r="J8" s="44">
        <v>3</v>
      </c>
      <c r="K8" s="44">
        <v>2</v>
      </c>
      <c r="L8" s="44">
        <v>28.1</v>
      </c>
    </row>
    <row r="9" spans="1:12" ht="15">
      <c r="A9" s="16">
        <f t="shared" si="0"/>
        <v>2004</v>
      </c>
      <c r="B9" s="17">
        <f>134+32.3+0.3+34.3</f>
        <v>200.90000000000003</v>
      </c>
      <c r="C9" s="42">
        <v>4706</v>
      </c>
      <c r="D9" s="43">
        <v>20.00582612368528</v>
      </c>
      <c r="E9" s="44">
        <v>2</v>
      </c>
      <c r="F9" s="42">
        <v>86750000</v>
      </c>
      <c r="G9" s="45">
        <v>1993100</v>
      </c>
      <c r="H9" s="47">
        <v>0.56</v>
      </c>
      <c r="I9" s="47">
        <v>0.63</v>
      </c>
      <c r="J9" s="44">
        <v>3</v>
      </c>
      <c r="K9" s="44">
        <v>2</v>
      </c>
      <c r="L9" s="44">
        <v>36.05</v>
      </c>
    </row>
    <row r="10" spans="1:12" ht="15">
      <c r="A10" s="16">
        <f t="shared" si="0"/>
        <v>2005</v>
      </c>
      <c r="B10" s="17">
        <f>151.3+49.9+0.3+22.5</f>
        <v>224.00000000000003</v>
      </c>
      <c r="C10" s="42">
        <v>5346</v>
      </c>
      <c r="D10" s="43">
        <v>20.978075644460183</v>
      </c>
      <c r="E10" s="44">
        <v>2</v>
      </c>
      <c r="F10" s="42">
        <v>43750000</v>
      </c>
      <c r="G10" s="45">
        <v>1368700</v>
      </c>
      <c r="H10" s="47">
        <v>0.59</v>
      </c>
      <c r="I10" s="47">
        <v>0.63</v>
      </c>
      <c r="J10" s="44">
        <v>3</v>
      </c>
      <c r="K10" s="44">
        <v>2</v>
      </c>
      <c r="L10" s="44">
        <v>50.59</v>
      </c>
    </row>
    <row r="11" spans="1:12" ht="15">
      <c r="A11" s="16">
        <f t="shared" si="0"/>
        <v>2006</v>
      </c>
      <c r="B11" s="17">
        <f>166.3+55.4+0.3+29</f>
        <v>251.00000000000003</v>
      </c>
      <c r="C11" s="42">
        <v>5364</v>
      </c>
      <c r="D11" s="43">
        <v>23.439078150180535</v>
      </c>
      <c r="E11" s="44">
        <v>2</v>
      </c>
      <c r="F11" s="42">
        <v>40700000.762939505</v>
      </c>
      <c r="G11" s="45">
        <v>1745300</v>
      </c>
      <c r="H11" s="47">
        <v>0.59</v>
      </c>
      <c r="I11" s="47">
        <v>0.63</v>
      </c>
      <c r="J11" s="44">
        <v>3</v>
      </c>
      <c r="K11" s="44">
        <v>2</v>
      </c>
      <c r="L11" s="44">
        <v>61</v>
      </c>
    </row>
    <row r="12" spans="1:12" ht="15">
      <c r="A12" s="16">
        <f t="shared" si="0"/>
        <v>2007</v>
      </c>
      <c r="B12" s="17">
        <f>159.8+51.9+0.7+28.5</f>
        <v>240.9</v>
      </c>
      <c r="C12" s="42">
        <v>5624</v>
      </c>
      <c r="D12" s="43">
        <v>27.30668573402949</v>
      </c>
      <c r="E12" s="44">
        <v>2</v>
      </c>
      <c r="F12" s="42">
        <v>31659999.8474121</v>
      </c>
      <c r="G12" s="45">
        <v>1968000</v>
      </c>
      <c r="H12" s="47">
        <v>0.59</v>
      </c>
      <c r="I12" s="47">
        <v>0.63</v>
      </c>
      <c r="J12" s="44">
        <v>3</v>
      </c>
      <c r="K12" s="44">
        <v>2</v>
      </c>
      <c r="L12" s="44">
        <v>69.04</v>
      </c>
    </row>
    <row r="13" spans="1:12" ht="15">
      <c r="A13" s="16">
        <f t="shared" si="0"/>
        <v>2008</v>
      </c>
      <c r="B13" s="17">
        <f>158.2+49.2+1+28.4</f>
        <v>236.79999999999998</v>
      </c>
      <c r="C13" s="42">
        <v>6516</v>
      </c>
      <c r="D13" s="43">
        <v>30.19132402420587</v>
      </c>
      <c r="E13" s="44">
        <v>2</v>
      </c>
      <c r="F13" s="42">
        <v>89809997.55859381</v>
      </c>
      <c r="G13" s="45">
        <v>1652000</v>
      </c>
      <c r="H13" s="47">
        <v>0.59</v>
      </c>
      <c r="I13" s="47">
        <v>0.63</v>
      </c>
      <c r="J13" s="44">
        <v>3</v>
      </c>
      <c r="K13" s="44">
        <v>2</v>
      </c>
      <c r="L13" s="44">
        <v>94.1</v>
      </c>
    </row>
    <row r="14" spans="1:12" ht="15">
      <c r="A14" s="16">
        <f t="shared" si="0"/>
        <v>2009</v>
      </c>
      <c r="B14" s="17">
        <f>140.1+58.6+22.9</f>
        <v>221.6</v>
      </c>
      <c r="C14" s="42">
        <v>6447</v>
      </c>
      <c r="D14" s="43">
        <v>28.603475866807727</v>
      </c>
      <c r="E14" s="49">
        <v>1</v>
      </c>
      <c r="F14" s="42">
        <v>152279998.779297</v>
      </c>
      <c r="G14" s="45">
        <v>1334600</v>
      </c>
      <c r="H14" s="47">
        <v>0.59</v>
      </c>
      <c r="I14" s="47">
        <v>0.63</v>
      </c>
      <c r="J14" s="44">
        <v>3</v>
      </c>
      <c r="K14" s="44">
        <v>2</v>
      </c>
      <c r="L14" s="44">
        <v>60.86</v>
      </c>
    </row>
    <row r="15" spans="1:12" ht="15">
      <c r="A15" s="16">
        <f t="shared" si="0"/>
        <v>2010</v>
      </c>
      <c r="B15" s="17">
        <f>151.7+53.2+1.2+20.2</f>
        <v>226.29999999999995</v>
      </c>
      <c r="C15" s="42">
        <v>6935</v>
      </c>
      <c r="D15" s="43">
        <v>26.405664822720016</v>
      </c>
      <c r="E15" s="49">
        <v>1</v>
      </c>
      <c r="F15" s="42">
        <v>141100006.10351598</v>
      </c>
      <c r="G15" s="45">
        <v>1390100</v>
      </c>
      <c r="H15" s="47">
        <v>0.58</v>
      </c>
      <c r="I15" s="47">
        <v>0.63</v>
      </c>
      <c r="J15" s="44">
        <v>3</v>
      </c>
      <c r="K15" s="44">
        <v>2</v>
      </c>
      <c r="L15" s="44">
        <v>77.38</v>
      </c>
    </row>
    <row r="16" spans="1:12" ht="15">
      <c r="A16" s="16">
        <f t="shared" si="0"/>
        <v>2011</v>
      </c>
      <c r="B16" s="17">
        <f>152.2+91.2+1.7+27.9</f>
        <v>272.99999999999994</v>
      </c>
      <c r="C16" s="42">
        <v>7469</v>
      </c>
      <c r="D16" s="43">
        <v>26.795738299769</v>
      </c>
      <c r="E16" s="49">
        <v>1</v>
      </c>
      <c r="F16" s="42">
        <v>41029998.779296905</v>
      </c>
      <c r="G16" s="45">
        <v>1518300</v>
      </c>
      <c r="H16" s="47">
        <v>0.6</v>
      </c>
      <c r="I16" s="47">
        <v>0.63</v>
      </c>
      <c r="J16" s="44">
        <v>3</v>
      </c>
      <c r="K16" s="44">
        <v>2</v>
      </c>
      <c r="L16" s="44">
        <v>107.46</v>
      </c>
    </row>
    <row r="17" spans="1:12" ht="15">
      <c r="A17" s="16">
        <f t="shared" si="0"/>
        <v>2012</v>
      </c>
      <c r="B17" s="17">
        <f>150.7+107.5+3+27.5</f>
        <v>288.7</v>
      </c>
      <c r="C17" s="42">
        <v>7919</v>
      </c>
      <c r="D17" s="43">
        <v>28.98832874473224</v>
      </c>
      <c r="E17" s="49">
        <v>1</v>
      </c>
      <c r="F17" s="42">
        <v>28059999.4659424</v>
      </c>
      <c r="G17" s="45">
        <v>1475200</v>
      </c>
      <c r="H17" s="47">
        <v>0.6</v>
      </c>
      <c r="I17" s="47">
        <v>0.63</v>
      </c>
      <c r="J17" s="44">
        <v>3</v>
      </c>
      <c r="K17" s="44">
        <v>2</v>
      </c>
      <c r="L17" s="44">
        <v>109.45</v>
      </c>
    </row>
    <row r="18" spans="1:12" ht="15">
      <c r="A18" s="16">
        <f t="shared" si="0"/>
        <v>2013</v>
      </c>
      <c r="B18" s="17">
        <f>124.3+115.4+3.5+30.2</f>
        <v>273.4</v>
      </c>
      <c r="C18" s="45">
        <v>7249</v>
      </c>
      <c r="D18" s="43">
        <v>29.773136750716166</v>
      </c>
      <c r="E18" s="49">
        <v>1</v>
      </c>
      <c r="F18" s="45">
        <v>71589996.3378906</v>
      </c>
      <c r="G18" s="45">
        <v>1402600</v>
      </c>
      <c r="H18" s="47">
        <v>0.62</v>
      </c>
      <c r="I18" s="47">
        <v>0.65</v>
      </c>
      <c r="J18" s="44">
        <v>3</v>
      </c>
      <c r="K18" s="44">
        <v>2</v>
      </c>
      <c r="L18" s="44">
        <v>105.87</v>
      </c>
    </row>
    <row r="19" spans="1:12" ht="15">
      <c r="A19" s="16">
        <f t="shared" si="0"/>
        <v>2014</v>
      </c>
      <c r="B19" s="17">
        <f>136+119+6.9+32.7</f>
        <v>294.59999999999997</v>
      </c>
      <c r="C19" s="42">
        <v>6950</v>
      </c>
      <c r="D19" s="43">
        <v>29.32593708691315</v>
      </c>
      <c r="E19" s="49">
        <v>1</v>
      </c>
      <c r="F19" s="42">
        <v>95989997.8637695</v>
      </c>
      <c r="G19" s="45">
        <v>1779300</v>
      </c>
      <c r="H19" s="47">
        <v>0.66</v>
      </c>
      <c r="I19" s="47">
        <v>0.65</v>
      </c>
      <c r="J19" s="44">
        <v>3</v>
      </c>
      <c r="K19" s="44">
        <v>2</v>
      </c>
      <c r="L19" s="44">
        <v>96.29</v>
      </c>
    </row>
    <row r="20" spans="1:12" ht="15">
      <c r="A20" s="16">
        <f t="shared" si="0"/>
        <v>2015</v>
      </c>
      <c r="B20" s="17">
        <f>129+125+10.6+30</f>
        <v>294.6</v>
      </c>
      <c r="C20" s="42">
        <v>6238</v>
      </c>
      <c r="D20" s="43">
        <v>30.032089589113077</v>
      </c>
      <c r="E20" s="49">
        <v>1</v>
      </c>
      <c r="F20" s="42">
        <v>59069999.6948242</v>
      </c>
      <c r="G20" s="45">
        <v>1572400</v>
      </c>
      <c r="H20" s="47">
        <v>0.66</v>
      </c>
      <c r="I20" s="47">
        <v>0.65</v>
      </c>
      <c r="J20" s="44">
        <v>2</v>
      </c>
      <c r="K20" s="44">
        <v>2</v>
      </c>
      <c r="L20" s="44">
        <v>49.49</v>
      </c>
    </row>
    <row r="21" spans="1:12" ht="15">
      <c r="A21" s="16">
        <f t="shared" si="0"/>
        <v>2016</v>
      </c>
      <c r="B21" s="17">
        <f>118.7+190+13+23.5</f>
        <v>345.2</v>
      </c>
      <c r="C21" s="42">
        <v>5605</v>
      </c>
      <c r="D21" s="43">
        <v>32.02079986415451</v>
      </c>
      <c r="E21" s="49">
        <v>1</v>
      </c>
      <c r="F21" s="42">
        <v>26850000.3814697</v>
      </c>
      <c r="G21" s="45">
        <v>1127100</v>
      </c>
      <c r="H21" s="47">
        <v>0.66</v>
      </c>
      <c r="I21" s="47">
        <v>0.64</v>
      </c>
      <c r="J21" s="44">
        <v>2</v>
      </c>
      <c r="K21" s="44">
        <v>2</v>
      </c>
      <c r="L21" s="44">
        <v>40.76</v>
      </c>
    </row>
    <row r="22" spans="1:12" ht="15">
      <c r="A22" s="16">
        <f t="shared" si="0"/>
        <v>2017</v>
      </c>
      <c r="B22" s="17">
        <f>154.2+289+44+24.5</f>
        <v>511.7</v>
      </c>
      <c r="C22" s="42">
        <v>5206</v>
      </c>
      <c r="D22" s="43">
        <v>36.51173598281709</v>
      </c>
      <c r="E22" s="49">
        <v>1</v>
      </c>
      <c r="F22" s="42">
        <v>61430000.3051758</v>
      </c>
      <c r="G22" s="45">
        <v>1131200</v>
      </c>
      <c r="H22" s="47">
        <v>0.68</v>
      </c>
      <c r="I22" s="47">
        <v>0.64</v>
      </c>
      <c r="J22" s="44">
        <v>2</v>
      </c>
      <c r="K22" s="44">
        <v>2</v>
      </c>
      <c r="L22" s="44">
        <v>52.51</v>
      </c>
    </row>
    <row r="23" spans="1:12" ht="15">
      <c r="A23" s="16">
        <f t="shared" si="0"/>
        <v>2018</v>
      </c>
      <c r="B23" s="17">
        <f>179.2+302+46+12.8</f>
        <v>540</v>
      </c>
      <c r="C23" s="42">
        <v>5095</v>
      </c>
      <c r="D23" s="43">
        <v>38.05592166708828</v>
      </c>
      <c r="E23" s="49">
        <v>1</v>
      </c>
      <c r="F23" s="42">
        <v>98790000.9155273</v>
      </c>
      <c r="G23" s="45">
        <v>1028400</v>
      </c>
      <c r="H23" s="47">
        <v>0.71</v>
      </c>
      <c r="I23" s="47">
        <v>0.63</v>
      </c>
      <c r="J23" s="44">
        <v>2</v>
      </c>
      <c r="K23" s="44">
        <v>2</v>
      </c>
      <c r="L23" s="44">
        <v>69.78</v>
      </c>
    </row>
    <row r="24" spans="1:30" s="25" customFormat="1" ht="33" customHeight="1">
      <c r="A24" s="23"/>
      <c r="B24" s="24"/>
      <c r="E24" s="27" t="s">
        <v>25</v>
      </c>
      <c r="J24" s="27" t="s">
        <v>26</v>
      </c>
      <c r="K24" s="27" t="s">
        <v>27</v>
      </c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s="25" customFormat="1" ht="30.75" customHeight="1">
      <c r="A25" s="23"/>
      <c r="B25" s="24"/>
      <c r="E25" s="27" t="s">
        <v>28</v>
      </c>
      <c r="J25" s="27" t="s">
        <v>113</v>
      </c>
      <c r="K25" s="27" t="s">
        <v>29</v>
      </c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s="25" customFormat="1" ht="24">
      <c r="A26" s="23"/>
      <c r="B26" s="24"/>
      <c r="E26" s="26"/>
      <c r="J26" s="27" t="s">
        <v>30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5" ht="15">
      <c r="A27" s="11"/>
      <c r="B27" s="28"/>
      <c r="E27" s="13"/>
    </row>
    <row r="28" spans="1:2" s="7" customFormat="1" ht="15">
      <c r="A28" s="29" t="s">
        <v>31</v>
      </c>
      <c r="B28" s="35" t="s">
        <v>65</v>
      </c>
    </row>
    <row r="29" s="7" customFormat="1" ht="15">
      <c r="B29" s="7" t="s">
        <v>39</v>
      </c>
    </row>
    <row r="30" spans="1:3" ht="15">
      <c r="A30" s="32"/>
      <c r="B30" s="41"/>
      <c r="C30" s="34"/>
    </row>
    <row r="31" spans="1:3" ht="15">
      <c r="A31" s="32"/>
      <c r="B31" s="35" t="s">
        <v>66</v>
      </c>
      <c r="C31" s="34"/>
    </row>
    <row r="32" spans="1:3" ht="15">
      <c r="A32" s="32"/>
      <c r="B32" s="7" t="s">
        <v>40</v>
      </c>
      <c r="C32" s="34"/>
    </row>
    <row r="33" spans="1:3" ht="15">
      <c r="A33" s="32"/>
      <c r="B33" s="41"/>
      <c r="C33" s="34"/>
    </row>
    <row r="34" spans="1:3" ht="15">
      <c r="A34" s="32"/>
      <c r="B34" s="35" t="s">
        <v>33</v>
      </c>
      <c r="C34" s="34"/>
    </row>
    <row r="35" spans="1:3" ht="15">
      <c r="A35" s="32"/>
      <c r="B35" s="7" t="s">
        <v>34</v>
      </c>
      <c r="C35" s="34"/>
    </row>
    <row r="36" spans="1:3" ht="15">
      <c r="A36" s="32"/>
      <c r="B36" s="41"/>
      <c r="C36" s="34"/>
    </row>
    <row r="37" spans="1:3" ht="15">
      <c r="A37" s="32"/>
      <c r="B37" s="7" t="s">
        <v>68</v>
      </c>
      <c r="C37" s="34"/>
    </row>
    <row r="38" spans="1:3" ht="15">
      <c r="A38" s="32"/>
      <c r="B38" s="41"/>
      <c r="C38" s="34"/>
    </row>
    <row r="39" spans="1:3" ht="15">
      <c r="A39" s="32"/>
      <c r="B39" s="7" t="s">
        <v>34</v>
      </c>
      <c r="C39" s="34"/>
    </row>
    <row r="40" spans="1:3" ht="15">
      <c r="A40" s="32"/>
      <c r="B40" s="41"/>
      <c r="C40" s="34"/>
    </row>
    <row r="41" spans="1:3" ht="15">
      <c r="A41" s="32"/>
      <c r="B41" s="35" t="s">
        <v>67</v>
      </c>
      <c r="C41" s="34"/>
    </row>
    <row r="42" spans="1:3" ht="15">
      <c r="A42" s="32"/>
      <c r="B42" s="41"/>
      <c r="C42" s="34"/>
    </row>
    <row r="43" spans="1:3" ht="15">
      <c r="A43" s="32"/>
      <c r="B43" s="35" t="s">
        <v>69</v>
      </c>
      <c r="C43" s="34"/>
    </row>
    <row r="44" spans="1:3" ht="15">
      <c r="A44" s="32"/>
      <c r="B44" s="41"/>
      <c r="C44" s="34"/>
    </row>
    <row r="45" spans="1:3" ht="15">
      <c r="A45" s="32"/>
      <c r="B45" s="35" t="s">
        <v>69</v>
      </c>
      <c r="C45" s="34"/>
    </row>
    <row r="46" spans="1:3" ht="15">
      <c r="A46" s="32"/>
      <c r="B46" s="41"/>
      <c r="C46" s="34"/>
    </row>
    <row r="47" spans="1:3" ht="15">
      <c r="A47" s="32"/>
      <c r="B47" s="7" t="s">
        <v>72</v>
      </c>
      <c r="C47" s="34"/>
    </row>
    <row r="48" spans="1:3" ht="15">
      <c r="A48" s="32"/>
      <c r="B48" s="41"/>
      <c r="C48" s="34"/>
    </row>
    <row r="49" ht="15">
      <c r="B49" s="35" t="s">
        <v>70</v>
      </c>
    </row>
    <row r="51" ht="15">
      <c r="B51" s="35" t="s">
        <v>71</v>
      </c>
    </row>
  </sheetData>
  <sheetProtection/>
  <mergeCells count="1">
    <mergeCell ref="C2:K2"/>
  </mergeCells>
  <hyperlinks>
    <hyperlink ref="B28" r:id="rId1" display="https://public.tableau.com/views/IRENARETimeSeries/Charts?:embed=y&amp;:showVizHome=no&amp;publish=yes&amp;:toolbar=no "/>
    <hyperlink ref="B4" location="Jamaica!B27" display="RE Electricity Generation (Gwh)"/>
    <hyperlink ref="B31" r:id="rId2" display="https://countryeconomy.com/national-debt/jamaica  "/>
    <hyperlink ref="C4" location="Jamaica!B30" display="Debt per capita (US$)"/>
    <hyperlink ref="B34" r:id="rId3" display="https://bit.ly/2D7fYWO"/>
    <hyperlink ref="D4" location="Jamaica!B33" display="Domestic credit provided to private sector (% of GDP)"/>
    <hyperlink ref="F4" location="Jamaica!B38" display="Net official development assistance and official aid received (current US$)"/>
    <hyperlink ref="B41" r:id="rId4" display="https://knoema.com/FAOPRDSC2020/production-statistics-crops-crops-processed "/>
    <hyperlink ref="G4" location="Jamaica!B40" display="Sugar production (tonnes)"/>
    <hyperlink ref="E4" location="Jamaica!B36" display="A clear RE roadmap"/>
    <hyperlink ref="H4" location="Jamaica!B42" display="Civil Society Participation"/>
    <hyperlink ref="B43" r:id="rId5" display="https://www.idea.int/gsod-indices/#/indices/compare-countries-regions "/>
    <hyperlink ref="B45" r:id="rId6" display="https://www.idea.int/gsod-indices/#/indices/compare-countries-regions "/>
    <hyperlink ref="I4" location="Jamaica!B44" display="Impartial Administration"/>
    <hyperlink ref="J4" location="Jamaica!B46" display="Rule enforcement"/>
    <hyperlink ref="B49" r:id="rId7" display="https://www.jpsco.com/our-history/ "/>
    <hyperlink ref="B51" r:id="rId8" display="https://www.statista.com/statistics/262858/change-in-opec-crude-oil-prices-since-1960/ "/>
    <hyperlink ref="K4" location="Jamaica!B48" display="Utility ownership status"/>
    <hyperlink ref="L4" location="Jamaica!B50" display="Global Oil Price (ave. US$ per barrel)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7.375" style="7" customWidth="1"/>
    <col min="2" max="2" width="11.125" style="0" customWidth="1"/>
    <col min="3" max="3" width="10.25390625" style="0" customWidth="1"/>
    <col min="4" max="4" width="17.75390625" style="3" customWidth="1"/>
    <col min="5" max="5" width="9.375" style="0" customWidth="1"/>
    <col min="6" max="6" width="23.50390625" style="0" customWidth="1"/>
    <col min="7" max="7" width="11.25390625" style="0" customWidth="1"/>
    <col min="8" max="8" width="11.75390625" style="0" customWidth="1"/>
    <col min="9" max="9" width="13.75390625" style="0" customWidth="1"/>
    <col min="10" max="10" width="11.625" style="0" customWidth="1"/>
    <col min="11" max="11" width="12.00390625" style="0" customWidth="1"/>
    <col min="12" max="12" width="14.125" style="0" customWidth="1"/>
    <col min="13" max="13" width="13.375" style="0" customWidth="1"/>
  </cols>
  <sheetData>
    <row r="1" ht="26.25" customHeight="1">
      <c r="A1" s="10" t="s">
        <v>77</v>
      </c>
    </row>
    <row r="2" spans="1:10" ht="36" customHeight="1">
      <c r="A2" s="10"/>
      <c r="B2" s="1" t="s">
        <v>54</v>
      </c>
      <c r="C2" s="61" t="s">
        <v>64</v>
      </c>
      <c r="D2" s="62"/>
      <c r="E2" s="62"/>
      <c r="F2" s="62"/>
      <c r="G2" s="62"/>
      <c r="H2" s="62"/>
      <c r="I2" s="62"/>
      <c r="J2" s="62"/>
    </row>
    <row r="3" spans="1:12" ht="15">
      <c r="A3" s="11"/>
      <c r="B3" s="12" t="s">
        <v>55</v>
      </c>
      <c r="C3" s="13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3" t="s">
        <v>47</v>
      </c>
      <c r="I3" s="13" t="s">
        <v>48</v>
      </c>
      <c r="J3" s="13" t="s">
        <v>49</v>
      </c>
      <c r="K3" s="13" t="s">
        <v>50</v>
      </c>
      <c r="L3" s="13" t="s">
        <v>51</v>
      </c>
    </row>
    <row r="4" spans="1:13" s="4" customFormat="1" ht="62.25" customHeight="1">
      <c r="A4" s="14" t="s">
        <v>0</v>
      </c>
      <c r="B4" s="36" t="s">
        <v>17</v>
      </c>
      <c r="C4" s="38" t="s">
        <v>18</v>
      </c>
      <c r="D4" s="38" t="s">
        <v>19</v>
      </c>
      <c r="E4" s="38" t="s">
        <v>20</v>
      </c>
      <c r="F4" s="38" t="s">
        <v>21</v>
      </c>
      <c r="G4" s="38" t="s">
        <v>22</v>
      </c>
      <c r="H4" s="38" t="s">
        <v>8</v>
      </c>
      <c r="I4" s="38" t="s">
        <v>9</v>
      </c>
      <c r="J4" s="38" t="s">
        <v>10</v>
      </c>
      <c r="K4" s="38" t="s">
        <v>23</v>
      </c>
      <c r="L4" s="38" t="s">
        <v>24</v>
      </c>
      <c r="M4" s="15"/>
    </row>
    <row r="5" spans="1:12" ht="15">
      <c r="A5" s="16">
        <v>2000</v>
      </c>
      <c r="B5" s="17">
        <f>95.3+430.5</f>
        <v>525.8</v>
      </c>
      <c r="C5" s="18">
        <v>2482</v>
      </c>
      <c r="D5" s="19">
        <v>56.5017022955681</v>
      </c>
      <c r="E5" s="20">
        <v>2</v>
      </c>
      <c r="F5" s="18">
        <v>20750000</v>
      </c>
      <c r="G5" s="21">
        <v>5109500</v>
      </c>
      <c r="H5" s="22">
        <v>0.73</v>
      </c>
      <c r="I5" s="22">
        <v>0.54</v>
      </c>
      <c r="J5" s="20">
        <v>3</v>
      </c>
      <c r="K5" s="20">
        <v>1</v>
      </c>
      <c r="L5" s="20">
        <v>27.6</v>
      </c>
    </row>
    <row r="6" spans="1:12" ht="15">
      <c r="A6" s="16">
        <f>A5+1</f>
        <v>2001</v>
      </c>
      <c r="B6" s="17">
        <f>70.4+477.6</f>
        <v>548</v>
      </c>
      <c r="C6" s="18">
        <v>2469</v>
      </c>
      <c r="D6" s="19">
        <v>56.852711742772186</v>
      </c>
      <c r="E6" s="20">
        <v>2</v>
      </c>
      <c r="F6" s="18">
        <v>21280000.6866455</v>
      </c>
      <c r="G6" s="18">
        <v>5792300</v>
      </c>
      <c r="H6" s="22">
        <v>0.73</v>
      </c>
      <c r="I6" s="22">
        <v>0.54</v>
      </c>
      <c r="J6" s="20">
        <v>3</v>
      </c>
      <c r="K6" s="20">
        <v>1</v>
      </c>
      <c r="L6" s="20">
        <v>23.12</v>
      </c>
    </row>
    <row r="7" spans="1:12" ht="15">
      <c r="A7" s="16">
        <f aca="true" t="shared" si="0" ref="A7:A23">A6+1</f>
        <v>2002</v>
      </c>
      <c r="B7" s="17">
        <f>85.6+452.1</f>
        <v>537.7</v>
      </c>
      <c r="C7" s="18">
        <v>2838</v>
      </c>
      <c r="D7" s="19">
        <v>57.69549849049539</v>
      </c>
      <c r="E7" s="20">
        <v>2</v>
      </c>
      <c r="F7" s="18">
        <v>23850000.3814697</v>
      </c>
      <c r="G7" s="18">
        <v>4873900</v>
      </c>
      <c r="H7" s="22">
        <v>0.73</v>
      </c>
      <c r="I7" s="22">
        <v>0.54</v>
      </c>
      <c r="J7" s="20">
        <v>3</v>
      </c>
      <c r="K7" s="20">
        <v>1</v>
      </c>
      <c r="L7" s="20">
        <v>24.36</v>
      </c>
    </row>
    <row r="8" spans="1:12" ht="15">
      <c r="A8" s="16">
        <f t="shared" si="0"/>
        <v>2003</v>
      </c>
      <c r="B8" s="17">
        <f>117.7+448.9</f>
        <v>566.6</v>
      </c>
      <c r="C8" s="18">
        <v>3593</v>
      </c>
      <c r="D8" s="19">
        <v>70.6444058251291</v>
      </c>
      <c r="E8" s="20">
        <v>2</v>
      </c>
      <c r="F8" s="18">
        <v>-14520000.4577637</v>
      </c>
      <c r="G8" s="18">
        <v>5199384</v>
      </c>
      <c r="H8" s="22">
        <v>0.73</v>
      </c>
      <c r="I8" s="22">
        <v>0.54</v>
      </c>
      <c r="J8" s="20">
        <v>3</v>
      </c>
      <c r="K8" s="20">
        <v>1</v>
      </c>
      <c r="L8" s="20">
        <v>28.1</v>
      </c>
    </row>
    <row r="9" spans="1:12" ht="15">
      <c r="A9" s="16">
        <f t="shared" si="0"/>
        <v>2004</v>
      </c>
      <c r="B9" s="17">
        <f>122.3+0.4+469.6</f>
        <v>592.3000000000001</v>
      </c>
      <c r="C9" s="18">
        <v>3488</v>
      </c>
      <c r="D9" s="19">
        <v>70.90782276796457</v>
      </c>
      <c r="E9" s="20">
        <v>2</v>
      </c>
      <c r="F9" s="18">
        <v>32799999.2370605</v>
      </c>
      <c r="G9" s="18">
        <v>5280370</v>
      </c>
      <c r="H9" s="22">
        <v>0.73</v>
      </c>
      <c r="I9" s="22">
        <v>0.54</v>
      </c>
      <c r="J9" s="20">
        <v>3</v>
      </c>
      <c r="K9" s="20">
        <v>1</v>
      </c>
      <c r="L9" s="20">
        <v>36.05</v>
      </c>
    </row>
    <row r="10" spans="1:12" ht="15">
      <c r="A10" s="16">
        <f t="shared" si="0"/>
        <v>2005</v>
      </c>
      <c r="B10" s="17">
        <f>114.9+0.4+452.9</f>
        <v>568.2</v>
      </c>
      <c r="C10" s="18">
        <v>3445</v>
      </c>
      <c r="D10" s="19">
        <v>72.8987930524364</v>
      </c>
      <c r="E10" s="20">
        <v>2</v>
      </c>
      <c r="F10" s="18">
        <v>34400001.5258789</v>
      </c>
      <c r="G10" s="18">
        <v>4984058</v>
      </c>
      <c r="H10" s="22">
        <v>0.73</v>
      </c>
      <c r="I10" s="22">
        <v>0.54</v>
      </c>
      <c r="J10" s="20">
        <v>2</v>
      </c>
      <c r="K10" s="20">
        <v>1</v>
      </c>
      <c r="L10" s="20">
        <v>50.59</v>
      </c>
    </row>
    <row r="11" spans="1:12" ht="15">
      <c r="A11" s="16">
        <f t="shared" si="0"/>
        <v>2006</v>
      </c>
      <c r="B11" s="17">
        <f>76.6+0.4+445.7</f>
        <v>522.7</v>
      </c>
      <c r="C11" s="18">
        <v>3424</v>
      </c>
      <c r="D11" s="19">
        <v>68.68787660435142</v>
      </c>
      <c r="E11" s="20">
        <v>2</v>
      </c>
      <c r="F11" s="18">
        <v>19129999.1607666</v>
      </c>
      <c r="G11" s="18">
        <v>4748973</v>
      </c>
      <c r="H11" s="22">
        <v>0.73</v>
      </c>
      <c r="I11" s="22">
        <v>0.54</v>
      </c>
      <c r="J11" s="20">
        <v>2</v>
      </c>
      <c r="K11" s="20">
        <v>1</v>
      </c>
      <c r="L11" s="20">
        <v>61</v>
      </c>
    </row>
    <row r="12" spans="1:12" ht="15">
      <c r="A12" s="16">
        <f t="shared" si="0"/>
        <v>2007</v>
      </c>
      <c r="B12" s="17">
        <f>83.9+0.4+467.9</f>
        <v>552.2</v>
      </c>
      <c r="C12" s="18">
        <v>3529</v>
      </c>
      <c r="D12" s="19">
        <v>71.74673615262195</v>
      </c>
      <c r="E12" s="20">
        <v>2</v>
      </c>
      <c r="F12" s="18">
        <v>69209999.0844727</v>
      </c>
      <c r="G12" s="18">
        <v>4235849</v>
      </c>
      <c r="H12" s="22">
        <v>0.73</v>
      </c>
      <c r="I12" s="50">
        <v>0.55</v>
      </c>
      <c r="J12" s="20">
        <v>2</v>
      </c>
      <c r="K12" s="20">
        <v>1</v>
      </c>
      <c r="L12" s="20">
        <v>69.04</v>
      </c>
    </row>
    <row r="13" spans="1:12" ht="15">
      <c r="A13" s="16">
        <f t="shared" si="0"/>
        <v>2008</v>
      </c>
      <c r="B13" s="17">
        <f>108+0.4+486.4</f>
        <v>594.8</v>
      </c>
      <c r="C13" s="18">
        <v>4021</v>
      </c>
      <c r="D13" s="19">
        <v>81.798055590861</v>
      </c>
      <c r="E13" s="20">
        <v>2</v>
      </c>
      <c r="F13" s="18">
        <v>108680000.30517599</v>
      </c>
      <c r="G13" s="18">
        <v>4533000</v>
      </c>
      <c r="H13" s="22">
        <v>0.73</v>
      </c>
      <c r="I13" s="50">
        <v>0.54</v>
      </c>
      <c r="J13" s="20">
        <v>2</v>
      </c>
      <c r="K13" s="20">
        <v>1</v>
      </c>
      <c r="L13" s="20">
        <v>94.1</v>
      </c>
    </row>
    <row r="14" spans="1:12" ht="15">
      <c r="A14" s="16">
        <f t="shared" si="0"/>
        <v>2009</v>
      </c>
      <c r="B14" s="17">
        <f>122.4+1.5+485</f>
        <v>608.9</v>
      </c>
      <c r="C14" s="18">
        <v>4339</v>
      </c>
      <c r="D14" s="19">
        <v>80.07701263580698</v>
      </c>
      <c r="E14" s="40">
        <v>1</v>
      </c>
      <c r="F14" s="18">
        <v>156029998.779297</v>
      </c>
      <c r="G14" s="18">
        <v>4667235</v>
      </c>
      <c r="H14" s="22">
        <v>0.73</v>
      </c>
      <c r="I14" s="50">
        <v>0.54</v>
      </c>
      <c r="J14" s="20">
        <v>2</v>
      </c>
      <c r="K14" s="20">
        <v>1</v>
      </c>
      <c r="L14" s="20">
        <v>60.86</v>
      </c>
    </row>
    <row r="15" spans="1:12" ht="15">
      <c r="A15" s="16">
        <f t="shared" si="0"/>
        <v>2010</v>
      </c>
      <c r="B15" s="17">
        <f>100.7+2.5+474.1</f>
        <v>577.3000000000001</v>
      </c>
      <c r="C15" s="18">
        <v>4570</v>
      </c>
      <c r="D15" s="19">
        <v>85.35512077217112</v>
      </c>
      <c r="E15" s="40">
        <v>1</v>
      </c>
      <c r="F15" s="18">
        <v>124589996.337891</v>
      </c>
      <c r="G15" s="18">
        <v>4365833</v>
      </c>
      <c r="H15" s="50">
        <v>0.72</v>
      </c>
      <c r="I15" s="50">
        <v>0.56</v>
      </c>
      <c r="J15" s="20">
        <v>2</v>
      </c>
      <c r="K15" s="20">
        <v>1</v>
      </c>
      <c r="L15" s="20">
        <v>77.38</v>
      </c>
    </row>
    <row r="16" spans="1:12" ht="15">
      <c r="A16" s="16">
        <f t="shared" si="0"/>
        <v>2011</v>
      </c>
      <c r="B16" s="17">
        <f>56.5+2.8+486.5+3.1</f>
        <v>548.9</v>
      </c>
      <c r="C16" s="18">
        <v>5276</v>
      </c>
      <c r="D16" s="19">
        <v>89.30543686042878</v>
      </c>
      <c r="E16" s="40">
        <v>1</v>
      </c>
      <c r="F16" s="18">
        <v>185690002.44140598</v>
      </c>
      <c r="G16" s="18">
        <v>4230173</v>
      </c>
      <c r="H16" s="50">
        <v>0.72</v>
      </c>
      <c r="I16" s="50">
        <v>0.56</v>
      </c>
      <c r="J16" s="20">
        <v>2</v>
      </c>
      <c r="K16" s="20">
        <v>1</v>
      </c>
      <c r="L16" s="20">
        <v>107.46</v>
      </c>
    </row>
    <row r="17" spans="1:12" ht="15">
      <c r="A17" s="16">
        <f t="shared" si="0"/>
        <v>2012</v>
      </c>
      <c r="B17" s="17">
        <f>74.1+3.6+470.5+17.8</f>
        <v>566</v>
      </c>
      <c r="C17" s="18">
        <v>5271</v>
      </c>
      <c r="D17" s="19">
        <v>98.84754495889536</v>
      </c>
      <c r="E17" s="40">
        <v>1</v>
      </c>
      <c r="F17" s="18">
        <v>176679992.67578098</v>
      </c>
      <c r="G17" s="18">
        <v>3947285</v>
      </c>
      <c r="H17" s="50">
        <v>0.72</v>
      </c>
      <c r="I17" s="50">
        <v>0.56</v>
      </c>
      <c r="J17" s="20">
        <v>2</v>
      </c>
      <c r="K17" s="20">
        <v>1</v>
      </c>
      <c r="L17" s="20">
        <v>109.45</v>
      </c>
    </row>
    <row r="18" spans="1:12" ht="15">
      <c r="A18" s="16">
        <f t="shared" si="0"/>
        <v>2013</v>
      </c>
      <c r="B18" s="17">
        <f>94.8+3.6+2.7+472.8+20</f>
        <v>593.9</v>
      </c>
      <c r="C18" s="18">
        <v>5690</v>
      </c>
      <c r="D18" s="19">
        <v>106.30648063337782</v>
      </c>
      <c r="E18" s="40">
        <v>1</v>
      </c>
      <c r="F18" s="18">
        <v>145740005.493164</v>
      </c>
      <c r="G18" s="18">
        <v>3815782</v>
      </c>
      <c r="H18" s="50">
        <v>0.67</v>
      </c>
      <c r="I18" s="50">
        <v>0.54</v>
      </c>
      <c r="J18" s="20">
        <v>2</v>
      </c>
      <c r="K18" s="20">
        <v>1</v>
      </c>
      <c r="L18" s="20">
        <v>105.87</v>
      </c>
    </row>
    <row r="19" spans="1:12" ht="15">
      <c r="A19" s="16">
        <f t="shared" si="0"/>
        <v>2014</v>
      </c>
      <c r="B19" s="17">
        <f>90.8+3.2+24.6+456.2+21.3</f>
        <v>596.0999999999999</v>
      </c>
      <c r="C19" s="18">
        <v>6293</v>
      </c>
      <c r="D19" s="19">
        <v>98.77084920446231</v>
      </c>
      <c r="E19" s="40">
        <v>1</v>
      </c>
      <c r="F19" s="18">
        <v>44590000.1525879</v>
      </c>
      <c r="G19" s="18">
        <v>4044422</v>
      </c>
      <c r="H19" s="50">
        <v>0.65</v>
      </c>
      <c r="I19" s="50">
        <v>0.54</v>
      </c>
      <c r="J19" s="20">
        <v>2</v>
      </c>
      <c r="K19" s="20">
        <v>1</v>
      </c>
      <c r="L19" s="20">
        <v>96.29</v>
      </c>
    </row>
    <row r="20" spans="1:12" ht="15">
      <c r="A20" s="16">
        <f t="shared" si="0"/>
        <v>2015</v>
      </c>
      <c r="B20" s="17">
        <f>121.9+2.7+25.9+509.8+20.4</f>
        <v>680.6999999999999</v>
      </c>
      <c r="C20" s="18">
        <v>6195</v>
      </c>
      <c r="D20" s="19">
        <v>102.71540997151452</v>
      </c>
      <c r="E20" s="40">
        <v>1</v>
      </c>
      <c r="F20" s="18">
        <v>78419998.1689453</v>
      </c>
      <c r="G20" s="18">
        <v>4009232</v>
      </c>
      <c r="H20" s="50">
        <v>0.66</v>
      </c>
      <c r="I20" s="50">
        <v>0.54</v>
      </c>
      <c r="J20" s="20">
        <v>2</v>
      </c>
      <c r="K20" s="20">
        <v>1</v>
      </c>
      <c r="L20" s="20">
        <v>49.49</v>
      </c>
    </row>
    <row r="21" spans="1:12" ht="15">
      <c r="A21" s="16">
        <f t="shared" si="0"/>
        <v>2016</v>
      </c>
      <c r="B21" s="17">
        <f>99.5+18+30.3+497+18.7</f>
        <v>663.5</v>
      </c>
      <c r="C21" s="21">
        <v>6459</v>
      </c>
      <c r="D21" s="19">
        <v>96.2695152328964</v>
      </c>
      <c r="E21" s="40">
        <v>1</v>
      </c>
      <c r="F21" s="21">
        <v>42340000.1525879</v>
      </c>
      <c r="G21" s="18">
        <v>3798448</v>
      </c>
      <c r="H21" s="50">
        <v>0.66</v>
      </c>
      <c r="I21" s="50">
        <v>0.54</v>
      </c>
      <c r="J21" s="20">
        <v>2</v>
      </c>
      <c r="K21" s="20">
        <v>1</v>
      </c>
      <c r="L21" s="20">
        <v>40.76</v>
      </c>
    </row>
    <row r="22" spans="1:12" ht="15">
      <c r="A22" s="16">
        <f t="shared" si="0"/>
        <v>2017</v>
      </c>
      <c r="B22" s="17">
        <f>89.8+14.6+39.2+463.2+16.9</f>
        <v>623.6999999999999</v>
      </c>
      <c r="C22" s="21">
        <v>6929</v>
      </c>
      <c r="D22" s="19">
        <v>102.3740880693754</v>
      </c>
      <c r="E22" s="40">
        <v>1</v>
      </c>
      <c r="F22" s="21">
        <v>11649999.6185303</v>
      </c>
      <c r="G22" s="18">
        <v>3713331</v>
      </c>
      <c r="H22" s="50">
        <v>0.71</v>
      </c>
      <c r="I22" s="50">
        <v>0.52</v>
      </c>
      <c r="J22" s="20">
        <v>2</v>
      </c>
      <c r="K22" s="20">
        <v>1</v>
      </c>
      <c r="L22" s="20">
        <v>52.51</v>
      </c>
    </row>
    <row r="23" spans="1:12" ht="15">
      <c r="A23" s="16">
        <f t="shared" si="0"/>
        <v>2018</v>
      </c>
      <c r="B23" s="17">
        <f>124.5+15.1+49.4+437.1+22.6</f>
        <v>648.7</v>
      </c>
      <c r="C23" s="21">
        <v>7567</v>
      </c>
      <c r="D23" s="19">
        <v>78.25372054070101</v>
      </c>
      <c r="E23" s="40">
        <v>1</v>
      </c>
      <c r="F23" s="21">
        <v>66699996.9482422</v>
      </c>
      <c r="G23" s="18">
        <v>3154516</v>
      </c>
      <c r="H23" s="50">
        <v>0.71</v>
      </c>
      <c r="I23" s="50">
        <v>0.56</v>
      </c>
      <c r="J23" s="20">
        <v>2</v>
      </c>
      <c r="K23" s="20">
        <v>1</v>
      </c>
      <c r="L23" s="20">
        <v>69.78</v>
      </c>
    </row>
    <row r="24" spans="1:30" s="25" customFormat="1" ht="33" customHeight="1">
      <c r="A24" s="23"/>
      <c r="B24" s="24"/>
      <c r="E24" s="27" t="s">
        <v>25</v>
      </c>
      <c r="J24" s="27" t="s">
        <v>26</v>
      </c>
      <c r="K24" s="27" t="s">
        <v>27</v>
      </c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s="25" customFormat="1" ht="30.75" customHeight="1">
      <c r="A25" s="23"/>
      <c r="B25" s="24"/>
      <c r="E25" s="27" t="s">
        <v>28</v>
      </c>
      <c r="J25" s="27" t="s">
        <v>113</v>
      </c>
      <c r="K25" s="27" t="s">
        <v>29</v>
      </c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s="25" customFormat="1" ht="24">
      <c r="A26" s="23"/>
      <c r="B26" s="24"/>
      <c r="E26" s="26"/>
      <c r="J26" s="27" t="s">
        <v>30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12" ht="15">
      <c r="A27" s="11"/>
      <c r="B27" s="3"/>
      <c r="C27" s="3"/>
      <c r="E27" s="3"/>
      <c r="F27" s="3"/>
      <c r="G27" s="3"/>
      <c r="J27" s="3"/>
      <c r="K27" s="3"/>
      <c r="L27" s="3"/>
    </row>
    <row r="28" spans="1:4" ht="15">
      <c r="A28" s="29" t="s">
        <v>31</v>
      </c>
      <c r="B28" s="30" t="s">
        <v>62</v>
      </c>
      <c r="C28" s="30" t="s">
        <v>73</v>
      </c>
      <c r="D28" s="31" t="s">
        <v>74</v>
      </c>
    </row>
    <row r="29" spans="2:3" ht="15">
      <c r="B29" t="s">
        <v>39</v>
      </c>
      <c r="C29" t="s">
        <v>40</v>
      </c>
    </row>
    <row r="31" ht="15">
      <c r="B31" s="30" t="s">
        <v>76</v>
      </c>
    </row>
    <row r="32" ht="15">
      <c r="B32" s="7" t="s">
        <v>40</v>
      </c>
    </row>
    <row r="34" ht="15">
      <c r="B34" s="35" t="s">
        <v>33</v>
      </c>
    </row>
    <row r="35" ht="15">
      <c r="B35" s="7" t="s">
        <v>34</v>
      </c>
    </row>
    <row r="37" ht="15">
      <c r="B37" t="s">
        <v>78</v>
      </c>
    </row>
    <row r="39" ht="15">
      <c r="B39" s="30" t="s">
        <v>79</v>
      </c>
    </row>
    <row r="40" ht="15">
      <c r="B40" t="s">
        <v>34</v>
      </c>
    </row>
    <row r="42" ht="15">
      <c r="B42" s="30" t="s">
        <v>35</v>
      </c>
    </row>
    <row r="44" ht="15">
      <c r="B44" s="30" t="s">
        <v>36</v>
      </c>
    </row>
    <row r="46" ht="15">
      <c r="B46" s="30" t="s">
        <v>36</v>
      </c>
    </row>
    <row r="48" ht="15">
      <c r="B48" t="s">
        <v>81</v>
      </c>
    </row>
    <row r="49" ht="15">
      <c r="B49" t="s">
        <v>82</v>
      </c>
    </row>
    <row r="51" ht="15">
      <c r="B51" s="30" t="s">
        <v>80</v>
      </c>
    </row>
    <row r="52" ht="15">
      <c r="B52" s="30" t="s">
        <v>75</v>
      </c>
    </row>
    <row r="54" ht="15">
      <c r="B54" s="30" t="s">
        <v>38</v>
      </c>
    </row>
  </sheetData>
  <sheetProtection/>
  <mergeCells count="1">
    <mergeCell ref="C2:J2"/>
  </mergeCells>
  <hyperlinks>
    <hyperlink ref="B28" r:id="rId1" display="https://public.tableau.com/views/IRENARETimeSeries/Charts?:embed=y&amp;:showVizHome=no&amp;publish=yes&amp;:toolbar=no"/>
    <hyperlink ref="C28" r:id="rId2" display="https://countryeconomy.com/national-debt/mauritius"/>
    <hyperlink ref="B42" r:id="rId3" display="https://knoema.com/FAOPRDSC2020/production-statistics-crops-crops-processed"/>
    <hyperlink ref="B44" r:id="rId4" display="https://www.idea.int/gsod-indices/#/indices/compare-countries-regions"/>
    <hyperlink ref="B52" r:id="rId5" display="https://www.reeep.org/mauritius-2012"/>
    <hyperlink ref="B54" r:id="rId6" display="https://www.statista.com/statistics/262858/change-in-opec-crude-oil-prices-since-1960/"/>
    <hyperlink ref="D28" r:id="rId7" display="https://bit.ly/2TTcb42"/>
    <hyperlink ref="B46" r:id="rId8" display="https://www.idea.int/gsod-indices/#/indices/compare-countries-regions"/>
    <hyperlink ref="B4" location="Mauritius!B27" display="RE Electricity Generation (Gwh)"/>
    <hyperlink ref="B31" r:id="rId9" display="https://countryeconomy.com/national-debt/mauritius "/>
    <hyperlink ref="C4" location="Mauritius!B30" display="Debt per capita (US$)"/>
    <hyperlink ref="B34" r:id="rId10" display="https://bit.ly/2D7fYWO"/>
    <hyperlink ref="D4" location="Mauritius!B33" display="Domestic credit provided to private sector (% of GDP)"/>
    <hyperlink ref="E4" location="Mauritius!B36" display="A clear RE roadmap"/>
    <hyperlink ref="B39" r:id="rId11" display="https://bit.ly/34Xk3YH "/>
    <hyperlink ref="F4" location="Mauritius!B38" display="Net official development assistance and official aid received (current US$)"/>
    <hyperlink ref="G4" location="Mauritius!B41" display="Sugar production (tonnes)"/>
    <hyperlink ref="H4" location="Mauritius!B43" display="Civil Society Participation"/>
    <hyperlink ref="I4" location="Mauritius!B45" display="Impartial Administration"/>
    <hyperlink ref="J4" location="Mauritius!B47" display="Rule enforcement"/>
    <hyperlink ref="B51" r:id="rId12" display="https://ceb.mu/company-profile/about-us "/>
    <hyperlink ref="K4" location="Mauritius!B50" display="Utility ownership status"/>
    <hyperlink ref="L4" location="Mauritius!B53" display="Global Oil Price (ave. US$ per barrel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Ginelle Greene</cp:lastModifiedBy>
  <dcterms:created xsi:type="dcterms:W3CDTF">2020-11-15T11:48:54Z</dcterms:created>
  <dcterms:modified xsi:type="dcterms:W3CDTF">2021-02-16T14:44:27Z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